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Munka1!$A$1:$R$174</definedName>
  </definedNames>
  <calcPr calcId="144525"/>
</workbook>
</file>

<file path=xl/calcChain.xml><?xml version="1.0" encoding="utf-8"?>
<calcChain xmlns="http://schemas.openxmlformats.org/spreadsheetml/2006/main">
  <c r="H125" i="1" l="1"/>
  <c r="G125" i="1"/>
  <c r="E125" i="1"/>
  <c r="K121" i="1"/>
  <c r="G121" i="1"/>
  <c r="E121" i="1"/>
  <c r="E116" i="1"/>
  <c r="E68" i="1"/>
  <c r="H83" i="1"/>
  <c r="G84" i="1"/>
  <c r="L79" i="1"/>
  <c r="H79" i="1"/>
  <c r="F79" i="1"/>
  <c r="F74" i="1"/>
  <c r="G79" i="1"/>
  <c r="E79" i="1"/>
  <c r="G74" i="1"/>
  <c r="E74" i="1"/>
  <c r="E52" i="1"/>
  <c r="G52" i="1"/>
  <c r="E83" i="1" s="1"/>
  <c r="H31" i="1"/>
  <c r="F31" i="1"/>
  <c r="H26" i="1"/>
  <c r="F26" i="1"/>
  <c r="K31" i="1"/>
  <c r="G31" i="1"/>
  <c r="E31" i="1"/>
  <c r="G26" i="1"/>
  <c r="K110" i="1" l="1"/>
  <c r="G110" i="1"/>
  <c r="L68" i="1"/>
  <c r="K20" i="1"/>
  <c r="F68" i="1"/>
  <c r="E57" i="1" l="1"/>
  <c r="G57" i="1"/>
  <c r="E110" i="1" l="1"/>
  <c r="G20" i="1"/>
  <c r="E20" i="1"/>
  <c r="G15" i="1"/>
  <c r="F20" i="1"/>
  <c r="F15" i="1"/>
  <c r="P121" i="1"/>
  <c r="P116" i="1"/>
  <c r="P122" i="1" s="1"/>
  <c r="O79" i="1"/>
  <c r="P79" i="1"/>
  <c r="O74" i="1"/>
  <c r="O80" i="1" s="1"/>
  <c r="P74" i="1"/>
  <c r="P80" i="1" s="1"/>
  <c r="P110" i="1"/>
  <c r="P105" i="1"/>
  <c r="O68" i="1"/>
  <c r="P68" i="1"/>
  <c r="O63" i="1"/>
  <c r="O69" i="1" s="1"/>
  <c r="P63" i="1"/>
  <c r="P69" i="1" s="1"/>
  <c r="L57" i="1"/>
  <c r="H84" i="1" s="1"/>
  <c r="N57" i="1"/>
  <c r="F57" i="1"/>
  <c r="C84" i="1" s="1"/>
  <c r="P111" i="1" l="1"/>
  <c r="K99" i="1"/>
  <c r="H126" i="1" s="1"/>
  <c r="E99" i="1"/>
  <c r="C126" i="1" s="1"/>
  <c r="E94" i="1"/>
  <c r="C125" i="1" s="1"/>
  <c r="I99" i="1"/>
  <c r="G126" i="1" s="1"/>
  <c r="H57" i="1"/>
  <c r="F52" i="1"/>
  <c r="C83" i="1" s="1"/>
  <c r="G99" i="1"/>
  <c r="E126" i="1" s="1"/>
  <c r="F9" i="1"/>
  <c r="F4" i="1"/>
  <c r="E9" i="1"/>
  <c r="G4" i="1"/>
  <c r="G9" i="1"/>
  <c r="J137" i="1"/>
  <c r="J125" i="1"/>
  <c r="H38" i="1"/>
  <c r="P31" i="1"/>
  <c r="P9" i="1"/>
  <c r="O57" i="1" l="1"/>
  <c r="E84" i="1"/>
  <c r="L138" i="1"/>
  <c r="J83" i="1"/>
  <c r="J126" i="1"/>
  <c r="J127" i="1"/>
  <c r="P94" i="1"/>
  <c r="P99" i="1"/>
  <c r="O52" i="1"/>
  <c r="P52" i="1"/>
  <c r="P57" i="1"/>
  <c r="E37" i="1"/>
  <c r="H137" i="1" s="1"/>
  <c r="O15" i="1"/>
  <c r="C38" i="1"/>
  <c r="F138" i="1" s="1"/>
  <c r="E38" i="1"/>
  <c r="H138" i="1" s="1"/>
  <c r="O31" i="1"/>
  <c r="O26" i="1"/>
  <c r="O20" i="1"/>
  <c r="P20" i="1"/>
  <c r="O4" i="1"/>
  <c r="O9" i="1"/>
  <c r="O58" i="1" l="1"/>
  <c r="P100" i="1"/>
  <c r="O125" i="1" s="1"/>
  <c r="P58" i="1"/>
  <c r="G38" i="1"/>
  <c r="J138" i="1" s="1"/>
  <c r="N138" i="1" s="1"/>
  <c r="H37" i="1"/>
  <c r="L137" i="1" s="1"/>
  <c r="O83" i="1" l="1"/>
  <c r="C37" i="1"/>
  <c r="J38" i="1"/>
  <c r="P26" i="1"/>
  <c r="P32" i="1" s="1"/>
  <c r="O32" i="1"/>
  <c r="P15" i="1"/>
  <c r="P4" i="1"/>
  <c r="P10" i="1" s="1"/>
  <c r="J37" i="1" l="1"/>
  <c r="J84" i="1" s="1"/>
  <c r="J85" i="1" s="1"/>
  <c r="F137" i="1"/>
  <c r="N137" i="1" s="1"/>
  <c r="N139" i="1" s="1"/>
  <c r="P21" i="1"/>
  <c r="O21" i="1"/>
  <c r="J39" i="1"/>
  <c r="O10" i="1"/>
  <c r="P143" i="1" l="1"/>
  <c r="O37" i="1"/>
</calcChain>
</file>

<file path=xl/sharedStrings.xml><?xml version="1.0" encoding="utf-8"?>
<sst xmlns="http://schemas.openxmlformats.org/spreadsheetml/2006/main" count="350" uniqueCount="72">
  <si>
    <t>Vezetők munkabére</t>
  </si>
  <si>
    <t xml:space="preserve">Bér jellegű </t>
  </si>
  <si>
    <t>Béren kívüli juttatások</t>
  </si>
  <si>
    <t>Turbékpuszta</t>
  </si>
  <si>
    <t>Mozsgó</t>
  </si>
  <si>
    <t xml:space="preserve">Turbékpuszta </t>
  </si>
  <si>
    <t>Egyéb juttatások</t>
  </si>
  <si>
    <t>Járuléka</t>
  </si>
  <si>
    <t>Egyéb  munkabére</t>
  </si>
  <si>
    <t>Turbékpuszta      5 fő</t>
  </si>
  <si>
    <t xml:space="preserve">Bér  </t>
  </si>
  <si>
    <t xml:space="preserve">Bér </t>
  </si>
  <si>
    <t>BÉR</t>
  </si>
  <si>
    <t>Járulékok</t>
  </si>
  <si>
    <t>Vezető beosztás</t>
  </si>
  <si>
    <t>ELL:</t>
  </si>
  <si>
    <t>prémium prg.réztvevő</t>
  </si>
  <si>
    <t>munkrehab.díj</t>
  </si>
  <si>
    <t>közlekedési ktg.tér.</t>
  </si>
  <si>
    <t>helyi járat bérlettér.</t>
  </si>
  <si>
    <t>Turbékpuszta   5 fő</t>
  </si>
  <si>
    <t>Mozsgó ell.          3fő</t>
  </si>
  <si>
    <t>TB.ellátás</t>
  </si>
  <si>
    <t>Mozsgó ell.     3fő</t>
  </si>
  <si>
    <t>Turbékpuszta  47fő</t>
  </si>
  <si>
    <t>Mozsgó ell.     55fő</t>
  </si>
  <si>
    <t>jubileumi jutalom</t>
  </si>
  <si>
    <t>betegszabadság</t>
  </si>
  <si>
    <t>kompenzáció</t>
  </si>
  <si>
    <t>Egyéb beosztás</t>
  </si>
  <si>
    <t>Turbékpuszta 49 fő</t>
  </si>
  <si>
    <t>Turbékpuszta      6 fő</t>
  </si>
  <si>
    <t>Mozsgó ell.          4fő</t>
  </si>
  <si>
    <t>Mozsgó ell.     54fő</t>
  </si>
  <si>
    <t>10fő</t>
  </si>
  <si>
    <t>Rigópuszta</t>
  </si>
  <si>
    <t>Helesfa I.</t>
  </si>
  <si>
    <t>Helesfa II.</t>
  </si>
  <si>
    <t xml:space="preserve">111fő </t>
  </si>
  <si>
    <t>Helesfa-Szevedély</t>
  </si>
  <si>
    <t>4 fő</t>
  </si>
  <si>
    <t>52 fő</t>
  </si>
  <si>
    <t>Helesfa-Fogy. élők</t>
  </si>
  <si>
    <t>1 fő</t>
  </si>
  <si>
    <t>23 fő</t>
  </si>
  <si>
    <t>5 fő</t>
  </si>
  <si>
    <t>75 fő</t>
  </si>
  <si>
    <t>RIGÓPUSZTA</t>
  </si>
  <si>
    <t>2 fő</t>
  </si>
  <si>
    <t>28 fő</t>
  </si>
  <si>
    <t>FŐ</t>
  </si>
  <si>
    <t>17 fő</t>
  </si>
  <si>
    <t>214 fő</t>
  </si>
  <si>
    <t>Ellenőrzés:</t>
  </si>
  <si>
    <t xml:space="preserve">MOZSGÓ,TURBÉKPUSZTA </t>
  </si>
  <si>
    <t>2016.12.havi munkabér</t>
  </si>
  <si>
    <t>Összesítő táblázata 2017.I.n.évi vezetők bérének</t>
  </si>
  <si>
    <t>Helesfa II.-Fogy.</t>
  </si>
  <si>
    <t>Helesfa-Fogy. Élők-II.</t>
  </si>
  <si>
    <t>2017.01.havi munkabér</t>
  </si>
  <si>
    <t>2017.02.havi munkabér</t>
  </si>
  <si>
    <t>Rigópuszta-vezetők</t>
  </si>
  <si>
    <t>Rigópuszta - egyéb</t>
  </si>
  <si>
    <t>Helesfa I.-Pszih.</t>
  </si>
  <si>
    <t>Helesfa-Pszihiátriai</t>
  </si>
  <si>
    <t>törzsgárda jutalom</t>
  </si>
  <si>
    <r>
      <rPr>
        <b/>
        <sz val="14"/>
        <color theme="1"/>
        <rFont val="Calibri"/>
        <family val="2"/>
        <charset val="238"/>
        <scheme val="minor"/>
      </rPr>
      <t xml:space="preserve">HELESFA </t>
    </r>
    <r>
      <rPr>
        <sz val="14"/>
        <color theme="1"/>
        <rFont val="Calibri"/>
        <family val="2"/>
        <charset val="238"/>
        <scheme val="minor"/>
      </rPr>
      <t>- Pszihiátriai betegek, Fogyatékossággal élők szakfeladatonkénti bontása</t>
    </r>
  </si>
  <si>
    <t>Turbékpuszta 50 fő</t>
  </si>
  <si>
    <t>24 fő</t>
  </si>
  <si>
    <t>3 fő</t>
  </si>
  <si>
    <t>folyószámla ktg.</t>
  </si>
  <si>
    <t>53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</si>
</sst>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u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9"/>
      <color rgb="FF7030A0"/>
      <name val="Calibri"/>
      <family val="2"/>
      <charset val="238"/>
      <scheme val="minor"/>
    </font>
    <font>
      <b/>
      <i/>
      <sz val="11"/>
      <color rgb="FF7030A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u/>
      <sz val="20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i/>
      <u/>
      <sz val="11"/>
      <color theme="7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6"/>
      <color rgb="FF7030A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0" xfId="0" applyBorder="1"/>
    <xf numFmtId="0" fontId="2" fillId="0" borderId="0" xfId="0" applyFont="1" applyAlignment="1">
      <alignment wrapText="1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10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9" fillId="0" borderId="15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11" xfId="0" applyFont="1" applyBorder="1" applyAlignment="1">
      <alignment horizontal="center"/>
    </xf>
    <xf numFmtId="0" fontId="0" fillId="0" borderId="0" xfId="0" applyAlignment="1">
      <alignment textRotation="45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2" fillId="0" borderId="1" xfId="0" applyFont="1" applyBorder="1"/>
    <xf numFmtId="0" fontId="4" fillId="0" borderId="10" xfId="0" applyFont="1" applyFill="1" applyBorder="1"/>
    <xf numFmtId="0" fontId="9" fillId="0" borderId="11" xfId="0" applyFont="1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Fill="1" applyBorder="1"/>
    <xf numFmtId="0" fontId="4" fillId="0" borderId="2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/>
    <xf numFmtId="0" fontId="0" fillId="0" borderId="22" xfId="0" applyBorder="1"/>
    <xf numFmtId="0" fontId="2" fillId="0" borderId="0" xfId="0" applyFont="1" applyAlignment="1">
      <alignment vertical="center" wrapText="1"/>
    </xf>
    <xf numFmtId="0" fontId="8" fillId="0" borderId="0" xfId="0" applyFont="1" applyBorder="1" applyAlignment="1"/>
    <xf numFmtId="0" fontId="10" fillId="2" borderId="8" xfId="0" applyFont="1" applyFill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4" fillId="0" borderId="1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0" fontId="9" fillId="0" borderId="0" xfId="0" applyFont="1"/>
    <xf numFmtId="0" fontId="15" fillId="0" borderId="0" xfId="0" applyFont="1"/>
    <xf numFmtId="0" fontId="16" fillId="0" borderId="15" xfId="0" applyFont="1" applyBorder="1"/>
    <xf numFmtId="0" fontId="16" fillId="0" borderId="16" xfId="0" applyFont="1" applyBorder="1"/>
    <xf numFmtId="0" fontId="16" fillId="0" borderId="21" xfId="0" applyFont="1" applyBorder="1"/>
    <xf numFmtId="0" fontId="16" fillId="0" borderId="22" xfId="0" applyFont="1" applyBorder="1"/>
    <xf numFmtId="0" fontId="16" fillId="0" borderId="17" xfId="0" applyFont="1" applyBorder="1"/>
    <xf numFmtId="0" fontId="16" fillId="0" borderId="11" xfId="0" applyFont="1" applyBorder="1" applyAlignment="1">
      <alignment vertical="center" wrapText="1"/>
    </xf>
    <xf numFmtId="0" fontId="16" fillId="0" borderId="5" xfId="0" applyFont="1" applyBorder="1"/>
    <xf numFmtId="0" fontId="16" fillId="0" borderId="6" xfId="0" applyFont="1" applyBorder="1"/>
    <xf numFmtId="3" fontId="3" fillId="0" borderId="0" xfId="0" applyNumberFormat="1" applyFont="1"/>
    <xf numFmtId="3" fontId="14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9" xfId="0" applyBorder="1"/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18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10" fillId="2" borderId="19" xfId="0" applyNumberFormat="1" applyFont="1" applyFill="1" applyBorder="1" applyAlignment="1">
      <alignment horizontal="center"/>
    </xf>
    <xf numFmtId="3" fontId="10" fillId="2" borderId="9" xfId="0" applyNumberFormat="1" applyFont="1" applyFill="1" applyBorder="1" applyAlignment="1">
      <alignment horizontal="center"/>
    </xf>
    <xf numFmtId="0" fontId="16" fillId="0" borderId="21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3" fontId="17" fillId="0" borderId="24" xfId="0" applyNumberFormat="1" applyFont="1" applyBorder="1" applyAlignment="1">
      <alignment horizontal="center"/>
    </xf>
    <xf numFmtId="3" fontId="17" fillId="0" borderId="25" xfId="0" applyNumberFormat="1" applyFont="1" applyBorder="1" applyAlignment="1">
      <alignment horizontal="center"/>
    </xf>
    <xf numFmtId="3" fontId="16" fillId="0" borderId="12" xfId="0" applyNumberFormat="1" applyFont="1" applyBorder="1" applyAlignment="1">
      <alignment horizontal="center"/>
    </xf>
    <xf numFmtId="3" fontId="16" fillId="0" borderId="13" xfId="0" applyNumberFormat="1" applyFont="1" applyBorder="1" applyAlignment="1">
      <alignment horizontal="center"/>
    </xf>
    <xf numFmtId="3" fontId="17" fillId="0" borderId="12" xfId="0" applyNumberFormat="1" applyFont="1" applyBorder="1" applyAlignment="1">
      <alignment horizontal="center" vertical="center"/>
    </xf>
    <xf numFmtId="3" fontId="17" fillId="0" borderId="26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/>
    </xf>
    <xf numFmtId="0" fontId="16" fillId="0" borderId="2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wrapText="1"/>
    </xf>
    <xf numFmtId="0" fontId="16" fillId="0" borderId="23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447675</xdr:colOff>
      <xdr:row>12</xdr:row>
      <xdr:rowOff>57150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19919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16</xdr:col>
      <xdr:colOff>193719</xdr:colOff>
      <xdr:row>7</xdr:row>
      <xdr:rowOff>157604</xdr:rowOff>
    </xdr:from>
    <xdr:ext cx="937629" cy="4058795"/>
    <xdr:sp macro="" textlink="">
      <xdr:nvSpPr>
        <xdr:cNvPr id="4" name="Téglalap 3"/>
        <xdr:cNvSpPr/>
      </xdr:nvSpPr>
      <xdr:spPr>
        <a:xfrm rot="5400000">
          <a:off x="10406036" y="3470787"/>
          <a:ext cx="405879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hu-HU" sz="5400" b="1" cap="none" spc="100">
              <a:ln w="18000">
                <a:solidFill>
                  <a:schemeClr val="accent1">
                    <a:satMod val="200000"/>
                    <a:tint val="72000"/>
                  </a:schemeClr>
                </a:solidFill>
                <a:prstDash val="solid"/>
              </a:ln>
              <a:solidFill>
                <a:schemeClr val="accent1">
                  <a:satMod val="280000"/>
                  <a:tint val="100000"/>
                  <a:alpha val="5700"/>
                </a:schemeClr>
              </a:solidFill>
              <a:effectLst>
                <a:outerShdw blurRad="25000" dist="20000" dir="16020000" algn="tl">
                  <a:schemeClr val="accent1">
                    <a:satMod val="200000"/>
                    <a:shade val="1000"/>
                    <a:alpha val="60000"/>
                  </a:schemeClr>
                </a:outerShdw>
              </a:effectLst>
            </a:rPr>
            <a:t>2017.I.n.év</a:t>
          </a:r>
          <a:endParaRPr lang="hu-HU" sz="4400" b="1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1">
                <a:satMod val="280000"/>
                <a:tint val="100000"/>
                <a:alpha val="57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16</xdr:col>
      <xdr:colOff>119923</xdr:colOff>
      <xdr:row>50</xdr:row>
      <xdr:rowOff>22293</xdr:rowOff>
    </xdr:from>
    <xdr:to>
      <xdr:col>18</xdr:col>
      <xdr:colOff>22484</xdr:colOff>
      <xdr:row>70</xdr:row>
      <xdr:rowOff>374194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0347353" y="12921563"/>
          <a:ext cx="4212701" cy="1121761"/>
        </a:xfrm>
        <a:prstGeom prst="rect">
          <a:avLst/>
        </a:prstGeom>
      </xdr:spPr>
    </xdr:pic>
    <xdr:clientData/>
  </xdr:twoCellAnchor>
  <xdr:twoCellAnchor editAs="oneCell">
    <xdr:from>
      <xdr:col>6</xdr:col>
      <xdr:colOff>752448</xdr:colOff>
      <xdr:row>160</xdr:row>
      <xdr:rowOff>12700</xdr:rowOff>
    </xdr:from>
    <xdr:to>
      <xdr:col>14</xdr:col>
      <xdr:colOff>571500</xdr:colOff>
      <xdr:row>169</xdr:row>
      <xdr:rowOff>165100</xdr:rowOff>
    </xdr:to>
    <xdr:pic>
      <xdr:nvPicPr>
        <xdr:cNvPr id="9" name="Kép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248" y="26250900"/>
          <a:ext cx="5927752" cy="18669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93</xdr:row>
      <xdr:rowOff>152400</xdr:rowOff>
    </xdr:from>
    <xdr:to>
      <xdr:col>17</xdr:col>
      <xdr:colOff>600554</xdr:colOff>
      <xdr:row>114</xdr:row>
      <xdr:rowOff>122847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9100" y="21475700"/>
          <a:ext cx="1133954" cy="4834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3"/>
  <sheetViews>
    <sheetView tabSelected="1" topLeftCell="A124" zoomScale="75" zoomScaleNormal="75" workbookViewId="0">
      <selection activeCell="T136" sqref="T136"/>
    </sheetView>
  </sheetViews>
  <sheetFormatPr defaultRowHeight="15" x14ac:dyDescent="0.25"/>
  <cols>
    <col min="5" max="5" width="13.140625" bestFit="1" customWidth="1"/>
    <col min="6" max="6" width="12" bestFit="1" customWidth="1"/>
    <col min="7" max="7" width="16.85546875" customWidth="1"/>
    <col min="8" max="8" width="9.42578125" bestFit="1" customWidth="1"/>
    <col min="9" max="9" width="13.140625" bestFit="1" customWidth="1"/>
    <col min="10" max="10" width="9.42578125" bestFit="1" customWidth="1"/>
    <col min="11" max="11" width="13.140625" bestFit="1" customWidth="1"/>
    <col min="12" max="12" width="10" bestFit="1" customWidth="1"/>
    <col min="13" max="13" width="10" customWidth="1"/>
    <col min="15" max="16" width="12" bestFit="1" customWidth="1"/>
  </cols>
  <sheetData>
    <row r="1" spans="1:18" ht="30" customHeight="1" thickBot="1" x14ac:dyDescent="0.3">
      <c r="A1" s="5"/>
      <c r="B1" s="55" t="s">
        <v>0</v>
      </c>
      <c r="C1" s="60"/>
      <c r="D1" s="56"/>
      <c r="E1" s="64" t="s">
        <v>10</v>
      </c>
      <c r="F1" s="65"/>
      <c r="G1" s="66" t="s">
        <v>2</v>
      </c>
      <c r="H1" s="67"/>
      <c r="I1" s="64" t="s">
        <v>6</v>
      </c>
      <c r="J1" s="65"/>
      <c r="K1" s="64" t="s">
        <v>7</v>
      </c>
      <c r="L1" s="65"/>
      <c r="M1" s="20"/>
      <c r="O1" s="28" t="s">
        <v>23</v>
      </c>
      <c r="P1" s="2" t="s">
        <v>20</v>
      </c>
    </row>
    <row r="2" spans="1:18" ht="15.75" thickBot="1" x14ac:dyDescent="0.3">
      <c r="A2" s="5"/>
      <c r="B2" s="61"/>
      <c r="C2" s="62"/>
      <c r="D2" s="63"/>
      <c r="E2" s="6" t="s">
        <v>3</v>
      </c>
      <c r="F2" s="6" t="s">
        <v>4</v>
      </c>
      <c r="G2" s="6" t="s">
        <v>5</v>
      </c>
      <c r="H2" s="6" t="s">
        <v>4</v>
      </c>
      <c r="I2" s="7" t="s">
        <v>3</v>
      </c>
      <c r="J2" s="7" t="s">
        <v>4</v>
      </c>
      <c r="K2" s="6" t="s">
        <v>3</v>
      </c>
      <c r="L2" s="8" t="s">
        <v>4</v>
      </c>
      <c r="M2" s="21"/>
    </row>
    <row r="3" spans="1:18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9"/>
      <c r="M3" s="9"/>
    </row>
    <row r="4" spans="1:18" x14ac:dyDescent="0.25">
      <c r="A4" s="5"/>
      <c r="B4" s="10" t="s">
        <v>55</v>
      </c>
      <c r="C4" s="10"/>
      <c r="D4" s="10"/>
      <c r="E4" s="11">
        <v>1673412</v>
      </c>
      <c r="F4" s="11">
        <f>745701+12300</f>
        <v>758001</v>
      </c>
      <c r="G4" s="12">
        <f>3096+24510</f>
        <v>27606</v>
      </c>
      <c r="H4" s="11">
        <v>0</v>
      </c>
      <c r="I4" s="11"/>
      <c r="J4" s="11"/>
      <c r="K4" s="11">
        <v>451821</v>
      </c>
      <c r="L4" s="11">
        <v>204660</v>
      </c>
      <c r="M4" s="22"/>
      <c r="O4">
        <f>SUM(F4+L4)+H4</f>
        <v>962661</v>
      </c>
      <c r="P4">
        <f>E4+G4+I4+K4</f>
        <v>2152839</v>
      </c>
    </row>
    <row r="5" spans="1:18" ht="15.75" customHeight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R5" s="19"/>
    </row>
    <row r="6" spans="1:18" ht="30" customHeight="1" thickBot="1" x14ac:dyDescent="0.3">
      <c r="A6" s="5"/>
      <c r="B6" s="55" t="s">
        <v>8</v>
      </c>
      <c r="C6" s="60"/>
      <c r="D6" s="56"/>
      <c r="E6" s="64" t="s">
        <v>1</v>
      </c>
      <c r="F6" s="65"/>
      <c r="G6" s="66" t="s">
        <v>2</v>
      </c>
      <c r="H6" s="67"/>
      <c r="I6" s="64" t="s">
        <v>6</v>
      </c>
      <c r="J6" s="65"/>
      <c r="K6" s="64" t="s">
        <v>7</v>
      </c>
      <c r="L6" s="65"/>
      <c r="M6" s="55" t="s">
        <v>22</v>
      </c>
      <c r="N6" s="56"/>
      <c r="O6" s="28" t="s">
        <v>25</v>
      </c>
      <c r="P6" s="2" t="s">
        <v>24</v>
      </c>
      <c r="R6" s="19"/>
    </row>
    <row r="7" spans="1:18" ht="15.75" thickBot="1" x14ac:dyDescent="0.3">
      <c r="A7" s="5"/>
      <c r="B7" s="61"/>
      <c r="C7" s="62"/>
      <c r="D7" s="63"/>
      <c r="E7" s="6" t="s">
        <v>3</v>
      </c>
      <c r="F7" s="6" t="s">
        <v>4</v>
      </c>
      <c r="G7" s="6" t="s">
        <v>5</v>
      </c>
      <c r="H7" s="6" t="s">
        <v>4</v>
      </c>
      <c r="I7" s="7" t="s">
        <v>3</v>
      </c>
      <c r="J7" s="7" t="s">
        <v>4</v>
      </c>
      <c r="K7" s="6" t="s">
        <v>3</v>
      </c>
      <c r="L7" s="8" t="s">
        <v>4</v>
      </c>
      <c r="M7" s="23" t="s">
        <v>3</v>
      </c>
      <c r="N7" s="8" t="s">
        <v>4</v>
      </c>
      <c r="R7" s="19"/>
    </row>
    <row r="8" spans="1:1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R8" s="19"/>
    </row>
    <row r="9" spans="1:18" x14ac:dyDescent="0.25">
      <c r="A9" s="5"/>
      <c r="B9" s="10" t="s">
        <v>55</v>
      </c>
      <c r="C9" s="10"/>
      <c r="D9" s="10"/>
      <c r="E9" s="11">
        <f>8390361+318654+1</f>
        <v>8709016</v>
      </c>
      <c r="F9" s="11">
        <f>8544298+641395+1</f>
        <v>9185694</v>
      </c>
      <c r="G9" s="12">
        <f>121710+387000</f>
        <v>508710</v>
      </c>
      <c r="H9" s="11">
        <v>104604</v>
      </c>
      <c r="I9" s="12">
        <v>713565</v>
      </c>
      <c r="J9" s="11">
        <v>0</v>
      </c>
      <c r="K9" s="11">
        <v>2582413</v>
      </c>
      <c r="L9" s="11">
        <v>2493984</v>
      </c>
      <c r="M9" s="11">
        <v>376295</v>
      </c>
      <c r="N9" s="24">
        <v>625140</v>
      </c>
      <c r="O9">
        <f>SUM(F9+H9+L9)+N9</f>
        <v>12409422</v>
      </c>
      <c r="P9">
        <f>E9+G9+I9+K9+M9</f>
        <v>12889999</v>
      </c>
      <c r="R9" s="19"/>
    </row>
    <row r="10" spans="1: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O10" s="54">
        <f>O4+O9</f>
        <v>13372083</v>
      </c>
      <c r="P10" s="54">
        <f>P4+P9</f>
        <v>15042838</v>
      </c>
      <c r="R10" s="19"/>
    </row>
    <row r="11" spans="1:18" ht="15.75" thickBo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R11" s="19"/>
    </row>
    <row r="12" spans="1:18" ht="30" customHeight="1" thickBot="1" x14ac:dyDescent="0.3">
      <c r="A12" s="5"/>
      <c r="B12" s="55" t="s">
        <v>0</v>
      </c>
      <c r="C12" s="60"/>
      <c r="D12" s="56"/>
      <c r="E12" s="64" t="s">
        <v>11</v>
      </c>
      <c r="F12" s="65"/>
      <c r="G12" s="66" t="s">
        <v>2</v>
      </c>
      <c r="H12" s="67"/>
      <c r="I12" s="64" t="s">
        <v>6</v>
      </c>
      <c r="J12" s="65"/>
      <c r="K12" s="64" t="s">
        <v>7</v>
      </c>
      <c r="L12" s="65"/>
      <c r="M12" s="20"/>
      <c r="O12" s="2" t="s">
        <v>21</v>
      </c>
      <c r="P12" s="2" t="s">
        <v>9</v>
      </c>
      <c r="R12" s="19"/>
    </row>
    <row r="13" spans="1:18" ht="15.75" thickBot="1" x14ac:dyDescent="0.3">
      <c r="A13" s="5"/>
      <c r="B13" s="61"/>
      <c r="C13" s="62"/>
      <c r="D13" s="63"/>
      <c r="E13" s="6" t="s">
        <v>3</v>
      </c>
      <c r="F13" s="6" t="s">
        <v>4</v>
      </c>
      <c r="G13" s="6" t="s">
        <v>5</v>
      </c>
      <c r="H13" s="6" t="s">
        <v>4</v>
      </c>
      <c r="I13" s="7" t="s">
        <v>3</v>
      </c>
      <c r="J13" s="7" t="s">
        <v>4</v>
      </c>
      <c r="K13" s="6" t="s">
        <v>3</v>
      </c>
      <c r="L13" s="8" t="s">
        <v>4</v>
      </c>
      <c r="M13" s="21"/>
      <c r="R13" s="19"/>
    </row>
    <row r="14" spans="1:18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9"/>
      <c r="M14" s="9"/>
      <c r="R14" s="19"/>
    </row>
    <row r="15" spans="1:18" x14ac:dyDescent="0.25">
      <c r="A15" s="5"/>
      <c r="B15" s="10" t="s">
        <v>59</v>
      </c>
      <c r="C15" s="11"/>
      <c r="D15" s="11"/>
      <c r="E15" s="11">
        <v>1757842</v>
      </c>
      <c r="F15" s="11">
        <f>816741+10300</f>
        <v>827041</v>
      </c>
      <c r="G15" s="12">
        <f>3096+34968</f>
        <v>38064</v>
      </c>
      <c r="H15" s="11">
        <v>15300</v>
      </c>
      <c r="I15" s="11">
        <v>0</v>
      </c>
      <c r="J15" s="11"/>
      <c r="K15" s="11">
        <v>386725</v>
      </c>
      <c r="L15" s="11">
        <v>181949</v>
      </c>
      <c r="M15" s="22"/>
      <c r="O15">
        <f>SUM(F15+L15)+H15</f>
        <v>1024290</v>
      </c>
      <c r="P15">
        <f>E15+G15+I15+K15</f>
        <v>2182631</v>
      </c>
      <c r="R15" s="19"/>
    </row>
    <row r="16" spans="1:18" ht="15.75" thickBo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R16" s="19"/>
    </row>
    <row r="17" spans="1:18" ht="30" customHeight="1" thickBot="1" x14ac:dyDescent="0.3">
      <c r="A17" s="5"/>
      <c r="B17" s="55" t="s">
        <v>8</v>
      </c>
      <c r="C17" s="60"/>
      <c r="D17" s="56"/>
      <c r="E17" s="64" t="s">
        <v>10</v>
      </c>
      <c r="F17" s="65"/>
      <c r="G17" s="66" t="s">
        <v>2</v>
      </c>
      <c r="H17" s="67"/>
      <c r="I17" s="64" t="s">
        <v>6</v>
      </c>
      <c r="J17" s="65"/>
      <c r="K17" s="64" t="s">
        <v>7</v>
      </c>
      <c r="L17" s="65"/>
      <c r="M17" s="55" t="s">
        <v>22</v>
      </c>
      <c r="N17" s="56"/>
      <c r="O17" s="28" t="s">
        <v>25</v>
      </c>
      <c r="P17" s="2" t="s">
        <v>67</v>
      </c>
      <c r="R17" s="19"/>
    </row>
    <row r="18" spans="1:18" ht="15.75" thickBot="1" x14ac:dyDescent="0.3">
      <c r="A18" s="5"/>
      <c r="B18" s="61"/>
      <c r="C18" s="62"/>
      <c r="D18" s="63"/>
      <c r="E18" s="6" t="s">
        <v>3</v>
      </c>
      <c r="F18" s="6" t="s">
        <v>4</v>
      </c>
      <c r="G18" s="6" t="s">
        <v>5</v>
      </c>
      <c r="H18" s="6" t="s">
        <v>4</v>
      </c>
      <c r="I18" s="7" t="s">
        <v>3</v>
      </c>
      <c r="J18" s="7" t="s">
        <v>4</v>
      </c>
      <c r="K18" s="6" t="s">
        <v>3</v>
      </c>
      <c r="L18" s="8" t="s">
        <v>4</v>
      </c>
      <c r="M18" s="23" t="s">
        <v>3</v>
      </c>
      <c r="N18" s="8" t="s">
        <v>4</v>
      </c>
      <c r="R18" s="19"/>
    </row>
    <row r="19" spans="1:18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R19" s="19"/>
    </row>
    <row r="20" spans="1:18" x14ac:dyDescent="0.25">
      <c r="A20" s="5"/>
      <c r="B20" s="10" t="s">
        <v>59</v>
      </c>
      <c r="C20" s="11"/>
      <c r="D20" s="11"/>
      <c r="E20" s="11">
        <f>191799+9684177+196926</f>
        <v>10072902</v>
      </c>
      <c r="F20" s="11">
        <f>10034289+302822</f>
        <v>10337111</v>
      </c>
      <c r="G20" s="12">
        <f>702+85473</f>
        <v>86175</v>
      </c>
      <c r="H20" s="11">
        <v>85504</v>
      </c>
      <c r="I20" s="11">
        <v>561579</v>
      </c>
      <c r="J20" s="11">
        <v>0</v>
      </c>
      <c r="K20" s="11">
        <f>42196+2244406</f>
        <v>2286602</v>
      </c>
      <c r="L20" s="11">
        <v>2315161</v>
      </c>
      <c r="M20" s="11">
        <v>207645</v>
      </c>
      <c r="N20" s="1">
        <v>581180</v>
      </c>
      <c r="O20">
        <f>SUM(F20+H20+L20)+N20</f>
        <v>13318956</v>
      </c>
      <c r="P20">
        <f>E20+G20+I20+K20+M20</f>
        <v>13214903</v>
      </c>
      <c r="R20" s="19"/>
    </row>
    <row r="21" spans="1:18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O21" s="53">
        <f>SUM(O15:O20)</f>
        <v>14343246</v>
      </c>
      <c r="P21" s="53">
        <f>SUM(P15:P20)</f>
        <v>15397534</v>
      </c>
      <c r="R21" s="19"/>
    </row>
    <row r="22" spans="1:18" ht="15.75" thickBo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R22" s="19"/>
    </row>
    <row r="23" spans="1:18" ht="30" customHeight="1" thickBot="1" x14ac:dyDescent="0.3">
      <c r="A23" s="5"/>
      <c r="B23" s="55" t="s">
        <v>0</v>
      </c>
      <c r="C23" s="60"/>
      <c r="D23" s="56"/>
      <c r="E23" s="64" t="s">
        <v>11</v>
      </c>
      <c r="F23" s="65"/>
      <c r="G23" s="66" t="s">
        <v>2</v>
      </c>
      <c r="H23" s="67"/>
      <c r="I23" s="64" t="s">
        <v>6</v>
      </c>
      <c r="J23" s="65"/>
      <c r="K23" s="64" t="s">
        <v>7</v>
      </c>
      <c r="L23" s="65"/>
      <c r="M23" s="20"/>
      <c r="O23" s="28" t="s">
        <v>32</v>
      </c>
      <c r="P23" s="2" t="s">
        <v>31</v>
      </c>
      <c r="R23" s="19"/>
    </row>
    <row r="24" spans="1:18" ht="15.75" thickBot="1" x14ac:dyDescent="0.3">
      <c r="A24" s="5"/>
      <c r="B24" s="61"/>
      <c r="C24" s="62"/>
      <c r="D24" s="63"/>
      <c r="E24" s="6" t="s">
        <v>3</v>
      </c>
      <c r="F24" s="6" t="s">
        <v>4</v>
      </c>
      <c r="G24" s="6" t="s">
        <v>5</v>
      </c>
      <c r="H24" s="6" t="s">
        <v>4</v>
      </c>
      <c r="I24" s="7" t="s">
        <v>3</v>
      </c>
      <c r="J24" s="7" t="s">
        <v>4</v>
      </c>
      <c r="K24" s="6" t="s">
        <v>3</v>
      </c>
      <c r="L24" s="8" t="s">
        <v>4</v>
      </c>
      <c r="M24" s="21"/>
      <c r="R24" s="19"/>
    </row>
    <row r="25" spans="1:18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9"/>
      <c r="M25" s="9"/>
      <c r="R25" s="19"/>
    </row>
    <row r="26" spans="1:18" x14ac:dyDescent="0.25">
      <c r="A26" s="5"/>
      <c r="B26" s="10" t="s">
        <v>60</v>
      </c>
      <c r="C26" s="11"/>
      <c r="D26" s="11"/>
      <c r="E26" s="11">
        <v>2136646</v>
      </c>
      <c r="F26" s="11">
        <f>957402+10300</f>
        <v>967702</v>
      </c>
      <c r="G26" s="12">
        <f>72000+3096+47262</f>
        <v>122358</v>
      </c>
      <c r="H26" s="11">
        <f>36000+21708</f>
        <v>57708</v>
      </c>
      <c r="I26" s="11"/>
      <c r="J26" s="11"/>
      <c r="K26" s="11">
        <v>485902</v>
      </c>
      <c r="L26" s="11">
        <v>261280</v>
      </c>
      <c r="M26" s="22"/>
      <c r="O26">
        <f>SUM(F26+L26)+H26</f>
        <v>1286690</v>
      </c>
      <c r="P26">
        <f>E26+G26+I26+K26</f>
        <v>2744906</v>
      </c>
      <c r="R26" s="19"/>
    </row>
    <row r="27" spans="1:18" ht="15.75" thickBo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R27" s="19"/>
    </row>
    <row r="28" spans="1:18" ht="30" customHeight="1" thickBot="1" x14ac:dyDescent="0.3">
      <c r="A28" s="5"/>
      <c r="B28" s="55" t="s">
        <v>8</v>
      </c>
      <c r="C28" s="60"/>
      <c r="D28" s="56"/>
      <c r="E28" s="64" t="s">
        <v>10</v>
      </c>
      <c r="F28" s="65"/>
      <c r="G28" s="66" t="s">
        <v>2</v>
      </c>
      <c r="H28" s="67"/>
      <c r="I28" s="64" t="s">
        <v>6</v>
      </c>
      <c r="J28" s="65"/>
      <c r="K28" s="64" t="s">
        <v>7</v>
      </c>
      <c r="L28" s="65"/>
      <c r="M28" s="55" t="s">
        <v>22</v>
      </c>
      <c r="N28" s="56"/>
      <c r="O28" s="28" t="s">
        <v>33</v>
      </c>
      <c r="P28" s="2" t="s">
        <v>30</v>
      </c>
      <c r="R28" s="19"/>
    </row>
    <row r="29" spans="1:18" ht="15.75" thickBot="1" x14ac:dyDescent="0.3">
      <c r="A29" s="5"/>
      <c r="B29" s="61"/>
      <c r="C29" s="62"/>
      <c r="D29" s="63"/>
      <c r="E29" s="6" t="s">
        <v>3</v>
      </c>
      <c r="F29" s="6" t="s">
        <v>4</v>
      </c>
      <c r="G29" s="6" t="s">
        <v>5</v>
      </c>
      <c r="H29" s="6" t="s">
        <v>4</v>
      </c>
      <c r="I29" s="7" t="s">
        <v>3</v>
      </c>
      <c r="J29" s="7" t="s">
        <v>4</v>
      </c>
      <c r="K29" s="6" t="s">
        <v>3</v>
      </c>
      <c r="L29" s="8" t="s">
        <v>4</v>
      </c>
      <c r="M29" s="23" t="s">
        <v>3</v>
      </c>
      <c r="N29" s="8" t="s">
        <v>4</v>
      </c>
      <c r="R29" s="19"/>
    </row>
    <row r="30" spans="1:18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R30" s="19"/>
    </row>
    <row r="31" spans="1:18" x14ac:dyDescent="0.25">
      <c r="A31" s="5"/>
      <c r="B31" s="10" t="s">
        <v>60</v>
      </c>
      <c r="C31" s="11"/>
      <c r="D31" s="11"/>
      <c r="E31" s="11">
        <f>10562380+368783+191801</f>
        <v>11122964</v>
      </c>
      <c r="F31" s="11">
        <f>10039402+541226</f>
        <v>10580628</v>
      </c>
      <c r="G31" s="12">
        <f>186595+322000+584000+3840</f>
        <v>1096435</v>
      </c>
      <c r="H31" s="11">
        <f>155178+600000</f>
        <v>755178</v>
      </c>
      <c r="I31" s="11">
        <v>573750</v>
      </c>
      <c r="J31" s="11">
        <v>0</v>
      </c>
      <c r="K31" s="11">
        <f>2663129+42196</f>
        <v>2705325</v>
      </c>
      <c r="L31" s="11">
        <v>2438602</v>
      </c>
      <c r="M31" s="11">
        <v>271115</v>
      </c>
      <c r="N31" s="1">
        <v>501260</v>
      </c>
      <c r="O31">
        <f>SUM(F31+H31+L31)+N31</f>
        <v>14275668</v>
      </c>
      <c r="P31">
        <f>E31+G31+I31+K31+M31</f>
        <v>15769589</v>
      </c>
      <c r="R31" s="19"/>
    </row>
    <row r="32" spans="1:18" x14ac:dyDescent="0.25">
      <c r="O32" s="53">
        <f>SUM(O26:O31)</f>
        <v>15562358</v>
      </c>
      <c r="P32" s="53">
        <f>SUM(P26:P31)</f>
        <v>18514495</v>
      </c>
    </row>
    <row r="33" spans="1:16" x14ac:dyDescent="0.25">
      <c r="O33" s="3"/>
      <c r="P33" s="3"/>
    </row>
    <row r="34" spans="1:16" ht="18.75" x14ac:dyDescent="0.3">
      <c r="A34" s="44" t="s">
        <v>54</v>
      </c>
      <c r="B34" s="43"/>
      <c r="C34" s="43"/>
      <c r="O34" s="3"/>
      <c r="P34" s="3"/>
    </row>
    <row r="35" spans="1:16" ht="15.75" thickBot="1" x14ac:dyDescent="0.3"/>
    <row r="36" spans="1:16" ht="18.75" x14ac:dyDescent="0.3">
      <c r="A36" s="15"/>
      <c r="B36" s="16"/>
      <c r="C36" s="81" t="s">
        <v>12</v>
      </c>
      <c r="D36" s="81"/>
      <c r="E36" s="81" t="s">
        <v>2</v>
      </c>
      <c r="F36" s="81"/>
      <c r="G36" s="16" t="s">
        <v>6</v>
      </c>
      <c r="H36" s="81" t="s">
        <v>13</v>
      </c>
      <c r="I36" s="81"/>
      <c r="J36" s="32"/>
      <c r="K36" s="33"/>
      <c r="O36" s="74" t="s">
        <v>15</v>
      </c>
      <c r="P36" s="75"/>
    </row>
    <row r="37" spans="1:16" ht="24" x14ac:dyDescent="0.3">
      <c r="A37" s="17" t="s">
        <v>34</v>
      </c>
      <c r="B37" s="27" t="s">
        <v>14</v>
      </c>
      <c r="C37" s="76">
        <f>E4+F4+E15+F15+E26+F26</f>
        <v>8120644</v>
      </c>
      <c r="D37" s="76"/>
      <c r="E37" s="76">
        <f>G15+G4+H4+G26+H26+H15</f>
        <v>261036</v>
      </c>
      <c r="F37" s="76"/>
      <c r="G37" s="18">
        <v>0</v>
      </c>
      <c r="H37" s="76">
        <f>K4+L4+K15+L15+K26+L26</f>
        <v>1972337</v>
      </c>
      <c r="I37" s="76"/>
      <c r="J37" s="79">
        <f>SUM(C37:I37)</f>
        <v>10354017</v>
      </c>
      <c r="K37" s="80"/>
      <c r="O37" s="73">
        <f>O10+P10+O21+P21+O32+P32</f>
        <v>92232554</v>
      </c>
      <c r="P37" s="73"/>
    </row>
    <row r="38" spans="1:16" ht="25.5" x14ac:dyDescent="0.3">
      <c r="A38" s="17" t="s">
        <v>38</v>
      </c>
      <c r="B38" s="26" t="s">
        <v>29</v>
      </c>
      <c r="C38" s="76">
        <f>E9+F9+E20+F20+E31+F31</f>
        <v>60008315</v>
      </c>
      <c r="D38" s="76"/>
      <c r="E38" s="77">
        <f>G9+H9+G20+H20+G31+H31</f>
        <v>2636606</v>
      </c>
      <c r="F38" s="78"/>
      <c r="G38" s="18">
        <f>I9+J9+I20+J20+I31+J31</f>
        <v>1848894</v>
      </c>
      <c r="H38" s="76">
        <f>K9+L9+K20+L20+K31+L31+N9+M9+M20+N20+M31+N31</f>
        <v>17384722</v>
      </c>
      <c r="I38" s="76"/>
      <c r="J38" s="79">
        <f>SUM(C38:I38)</f>
        <v>81878537</v>
      </c>
      <c r="K38" s="80"/>
    </row>
    <row r="39" spans="1:16" ht="15.75" thickBot="1" x14ac:dyDescent="0.3">
      <c r="A39" s="13"/>
      <c r="B39" s="14"/>
      <c r="C39" s="14"/>
      <c r="D39" s="14"/>
      <c r="E39" s="14"/>
      <c r="F39" s="14"/>
      <c r="G39" s="14"/>
      <c r="H39" s="14"/>
      <c r="I39" s="14"/>
      <c r="J39" s="71">
        <f t="shared" ref="J39" si="0">SUM(J37:K38)</f>
        <v>92232554</v>
      </c>
      <c r="K39" s="72"/>
    </row>
    <row r="40" spans="1:16" x14ac:dyDescent="0.25">
      <c r="C40" s="4" t="s">
        <v>27</v>
      </c>
      <c r="E40" s="4" t="s">
        <v>18</v>
      </c>
      <c r="G40" s="4" t="s">
        <v>16</v>
      </c>
    </row>
    <row r="41" spans="1:16" x14ac:dyDescent="0.25">
      <c r="C41" s="4" t="s">
        <v>28</v>
      </c>
      <c r="E41" s="4" t="s">
        <v>19</v>
      </c>
      <c r="G41" s="4" t="s">
        <v>17</v>
      </c>
    </row>
    <row r="42" spans="1:16" x14ac:dyDescent="0.25">
      <c r="E42" s="4" t="s">
        <v>26</v>
      </c>
    </row>
    <row r="43" spans="1:16" x14ac:dyDescent="0.25">
      <c r="E43" s="4" t="s">
        <v>65</v>
      </c>
    </row>
    <row r="44" spans="1:16" x14ac:dyDescent="0.25">
      <c r="E44" s="4" t="s">
        <v>70</v>
      </c>
    </row>
    <row r="46" spans="1:16" s="43" customFormat="1" ht="18.75" x14ac:dyDescent="0.3">
      <c r="A46" s="43" t="s">
        <v>66</v>
      </c>
    </row>
    <row r="48" spans="1:16" ht="15.75" thickBot="1" x14ac:dyDescent="0.3"/>
    <row r="49" spans="1:18" ht="30" customHeight="1" thickBot="1" x14ac:dyDescent="0.3">
      <c r="A49" s="5"/>
      <c r="B49" s="55" t="s">
        <v>0</v>
      </c>
      <c r="C49" s="60"/>
      <c r="D49" s="56"/>
      <c r="E49" s="64" t="s">
        <v>11</v>
      </c>
      <c r="F49" s="68"/>
      <c r="G49" s="66" t="s">
        <v>2</v>
      </c>
      <c r="H49" s="68"/>
      <c r="I49" s="64" t="s">
        <v>6</v>
      </c>
      <c r="J49" s="65"/>
      <c r="K49" s="64" t="s">
        <v>7</v>
      </c>
      <c r="L49" s="65"/>
      <c r="M49" s="20"/>
      <c r="O49" s="28" t="s">
        <v>42</v>
      </c>
      <c r="P49" s="2" t="s">
        <v>39</v>
      </c>
      <c r="R49" s="19"/>
    </row>
    <row r="50" spans="1:18" ht="15.75" thickBot="1" x14ac:dyDescent="0.3">
      <c r="A50" s="5"/>
      <c r="B50" s="61"/>
      <c r="C50" s="62"/>
      <c r="D50" s="63"/>
      <c r="E50" s="6" t="s">
        <v>63</v>
      </c>
      <c r="F50" s="6" t="s">
        <v>57</v>
      </c>
      <c r="G50" s="6" t="s">
        <v>36</v>
      </c>
      <c r="H50" s="6" t="s">
        <v>37</v>
      </c>
      <c r="I50" s="7" t="s">
        <v>36</v>
      </c>
      <c r="J50" s="7" t="s">
        <v>37</v>
      </c>
      <c r="K50" s="6" t="s">
        <v>36</v>
      </c>
      <c r="L50" s="8" t="s">
        <v>37</v>
      </c>
      <c r="M50" s="21"/>
      <c r="O50" s="31" t="s">
        <v>43</v>
      </c>
      <c r="P50" t="s">
        <v>40</v>
      </c>
      <c r="R50" s="19"/>
    </row>
    <row r="51" spans="1:18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9"/>
      <c r="M51" s="9"/>
      <c r="R51" s="19"/>
    </row>
    <row r="52" spans="1:18" x14ac:dyDescent="0.25">
      <c r="A52" s="5"/>
      <c r="B52" s="10" t="s">
        <v>55</v>
      </c>
      <c r="C52" s="11"/>
      <c r="D52" s="11"/>
      <c r="E52" s="11">
        <f>631728+9700</f>
        <v>641428</v>
      </c>
      <c r="F52" s="11">
        <f>482042+5900</f>
        <v>487942</v>
      </c>
      <c r="G52" s="12">
        <f>8000+12852</f>
        <v>20852</v>
      </c>
      <c r="H52" s="11">
        <v>0</v>
      </c>
      <c r="I52" s="11"/>
      <c r="J52" s="11"/>
      <c r="K52" s="11">
        <v>173186</v>
      </c>
      <c r="L52" s="11">
        <v>131744</v>
      </c>
      <c r="M52" s="22"/>
      <c r="O52">
        <f>SUM(F52+L52)+H52</f>
        <v>619686</v>
      </c>
      <c r="P52">
        <f>E52+G52+I52+K52</f>
        <v>835466</v>
      </c>
      <c r="R52" s="19"/>
    </row>
    <row r="53" spans="1:18" ht="15.75" thickBo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R53" s="19"/>
    </row>
    <row r="54" spans="1:18" ht="30" customHeight="1" thickBot="1" x14ac:dyDescent="0.3">
      <c r="A54" s="5"/>
      <c r="B54" s="55" t="s">
        <v>8</v>
      </c>
      <c r="C54" s="60"/>
      <c r="D54" s="56"/>
      <c r="E54" s="64" t="s">
        <v>10</v>
      </c>
      <c r="F54" s="65"/>
      <c r="G54" s="66" t="s">
        <v>2</v>
      </c>
      <c r="H54" s="67"/>
      <c r="I54" s="64" t="s">
        <v>6</v>
      </c>
      <c r="J54" s="65"/>
      <c r="K54" s="64" t="s">
        <v>7</v>
      </c>
      <c r="L54" s="65"/>
      <c r="M54" s="55" t="s">
        <v>22</v>
      </c>
      <c r="N54" s="56"/>
      <c r="O54" s="28" t="s">
        <v>58</v>
      </c>
      <c r="P54" s="2" t="s">
        <v>64</v>
      </c>
      <c r="R54" s="19"/>
    </row>
    <row r="55" spans="1:18" ht="15.75" thickBot="1" x14ac:dyDescent="0.3">
      <c r="A55" s="5"/>
      <c r="B55" s="61"/>
      <c r="C55" s="62"/>
      <c r="D55" s="63"/>
      <c r="E55" s="6" t="s">
        <v>36</v>
      </c>
      <c r="F55" s="6" t="s">
        <v>37</v>
      </c>
      <c r="G55" s="6" t="s">
        <v>36</v>
      </c>
      <c r="H55" s="6" t="s">
        <v>37</v>
      </c>
      <c r="I55" s="6" t="s">
        <v>36</v>
      </c>
      <c r="J55" s="6" t="s">
        <v>37</v>
      </c>
      <c r="K55" s="6" t="s">
        <v>36</v>
      </c>
      <c r="L55" s="6" t="s">
        <v>37</v>
      </c>
      <c r="M55" s="6" t="s">
        <v>36</v>
      </c>
      <c r="N55" s="6" t="s">
        <v>37</v>
      </c>
      <c r="O55" s="30" t="s">
        <v>44</v>
      </c>
      <c r="P55" s="29" t="s">
        <v>41</v>
      </c>
      <c r="R55" s="19"/>
    </row>
    <row r="56" spans="1:18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R56" s="19"/>
    </row>
    <row r="57" spans="1:18" x14ac:dyDescent="0.25">
      <c r="A57" s="5"/>
      <c r="B57" s="10" t="s">
        <v>55</v>
      </c>
      <c r="C57" s="11"/>
      <c r="D57" s="11"/>
      <c r="E57" s="11">
        <f>7457186+305621</f>
        <v>7762807</v>
      </c>
      <c r="F57" s="11">
        <f>3776321+187119+144583</f>
        <v>4108023</v>
      </c>
      <c r="G57" s="12">
        <f>249000+24722</f>
        <v>273722</v>
      </c>
      <c r="H57" s="11">
        <f>16819+67000</f>
        <v>83819</v>
      </c>
      <c r="I57" s="11">
        <v>0</v>
      </c>
      <c r="J57" s="11">
        <v>943500</v>
      </c>
      <c r="K57" s="11">
        <v>2284616</v>
      </c>
      <c r="L57" s="11">
        <f>1143798+39037</f>
        <v>1182835</v>
      </c>
      <c r="M57" s="11">
        <v>520610</v>
      </c>
      <c r="N57" s="1">
        <f>166755</f>
        <v>166755</v>
      </c>
      <c r="O57">
        <f>SUM(F57+H57+L57)+N57+J57</f>
        <v>6484932</v>
      </c>
      <c r="P57">
        <f>E57+G57+I57+K57+M57</f>
        <v>10841755</v>
      </c>
      <c r="R57" s="19"/>
    </row>
    <row r="58" spans="1:18" x14ac:dyDescent="0.25">
      <c r="O58" s="54">
        <f>SUM(O52:O57)</f>
        <v>7104618</v>
      </c>
      <c r="P58" s="54">
        <f>SUM(P52:P57)</f>
        <v>11677221</v>
      </c>
    </row>
    <row r="59" spans="1:18" ht="15.75" thickBot="1" x14ac:dyDescent="0.3">
      <c r="O59" s="3"/>
      <c r="P59" s="3"/>
    </row>
    <row r="60" spans="1:18" ht="30" customHeight="1" thickBot="1" x14ac:dyDescent="0.3">
      <c r="A60" s="5"/>
      <c r="B60" s="55" t="s">
        <v>0</v>
      </c>
      <c r="C60" s="60"/>
      <c r="D60" s="56"/>
      <c r="E60" s="64" t="s">
        <v>11</v>
      </c>
      <c r="F60" s="68"/>
      <c r="G60" s="66" t="s">
        <v>2</v>
      </c>
      <c r="H60" s="68"/>
      <c r="I60" s="64" t="s">
        <v>6</v>
      </c>
      <c r="J60" s="65"/>
      <c r="K60" s="64" t="s">
        <v>7</v>
      </c>
      <c r="L60" s="65"/>
      <c r="M60" s="20"/>
      <c r="O60" s="28" t="s">
        <v>42</v>
      </c>
      <c r="P60" s="2" t="s">
        <v>64</v>
      </c>
      <c r="R60" s="19"/>
    </row>
    <row r="61" spans="1:18" ht="15.75" thickBot="1" x14ac:dyDescent="0.3">
      <c r="A61" s="5"/>
      <c r="B61" s="61"/>
      <c r="C61" s="62"/>
      <c r="D61" s="63"/>
      <c r="E61" s="6" t="s">
        <v>63</v>
      </c>
      <c r="F61" s="6" t="s">
        <v>57</v>
      </c>
      <c r="G61" s="6" t="s">
        <v>36</v>
      </c>
      <c r="H61" s="6" t="s">
        <v>37</v>
      </c>
      <c r="I61" s="7" t="s">
        <v>36</v>
      </c>
      <c r="J61" s="7" t="s">
        <v>37</v>
      </c>
      <c r="K61" s="6" t="s">
        <v>36</v>
      </c>
      <c r="L61" s="8" t="s">
        <v>37</v>
      </c>
      <c r="M61" s="21"/>
      <c r="O61" s="31" t="s">
        <v>43</v>
      </c>
      <c r="P61" t="s">
        <v>40</v>
      </c>
      <c r="R61" s="19"/>
    </row>
    <row r="62" spans="1:18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9"/>
      <c r="M62" s="9"/>
      <c r="R62" s="19"/>
    </row>
    <row r="63" spans="1:18" x14ac:dyDescent="0.25">
      <c r="A63" s="5"/>
      <c r="B63" s="10" t="s">
        <v>59</v>
      </c>
      <c r="C63" s="11"/>
      <c r="D63" s="11"/>
      <c r="E63" s="11">
        <v>734165</v>
      </c>
      <c r="F63" s="11">
        <v>518674</v>
      </c>
      <c r="G63" s="40">
        <v>19998</v>
      </c>
      <c r="H63" s="11">
        <v>0</v>
      </c>
      <c r="I63" s="11">
        <v>0</v>
      </c>
      <c r="J63" s="11">
        <v>0</v>
      </c>
      <c r="K63" s="11">
        <v>161516</v>
      </c>
      <c r="L63" s="11">
        <v>114108</v>
      </c>
      <c r="M63" s="22"/>
      <c r="O63">
        <f>SUM(F63+L63)+H63</f>
        <v>632782</v>
      </c>
      <c r="P63">
        <f>E63+G63+I63+K63</f>
        <v>915679</v>
      </c>
      <c r="R63" s="19"/>
    </row>
    <row r="64" spans="1:18" ht="15.75" thickBo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R64" s="19"/>
    </row>
    <row r="65" spans="1:18" ht="30" customHeight="1" thickBot="1" x14ac:dyDescent="0.3">
      <c r="A65" s="5"/>
      <c r="B65" s="55" t="s">
        <v>8</v>
      </c>
      <c r="C65" s="60"/>
      <c r="D65" s="56"/>
      <c r="E65" s="64" t="s">
        <v>10</v>
      </c>
      <c r="F65" s="65"/>
      <c r="G65" s="66" t="s">
        <v>2</v>
      </c>
      <c r="H65" s="67"/>
      <c r="I65" s="64" t="s">
        <v>6</v>
      </c>
      <c r="J65" s="65"/>
      <c r="K65" s="64" t="s">
        <v>7</v>
      </c>
      <c r="L65" s="65"/>
      <c r="M65" s="55" t="s">
        <v>22</v>
      </c>
      <c r="N65" s="56"/>
      <c r="O65" s="28" t="s">
        <v>58</v>
      </c>
      <c r="P65" s="2" t="s">
        <v>64</v>
      </c>
      <c r="R65" s="19"/>
    </row>
    <row r="66" spans="1:18" ht="15.75" thickBot="1" x14ac:dyDescent="0.3">
      <c r="A66" s="5"/>
      <c r="B66" s="61"/>
      <c r="C66" s="62"/>
      <c r="D66" s="63"/>
      <c r="E66" s="6" t="s">
        <v>36</v>
      </c>
      <c r="F66" s="6" t="s">
        <v>57</v>
      </c>
      <c r="G66" s="6" t="s">
        <v>36</v>
      </c>
      <c r="H66" s="6" t="s">
        <v>37</v>
      </c>
      <c r="I66" s="6" t="s">
        <v>36</v>
      </c>
      <c r="J66" s="6" t="s">
        <v>37</v>
      </c>
      <c r="K66" s="6" t="s">
        <v>36</v>
      </c>
      <c r="L66" s="6" t="s">
        <v>57</v>
      </c>
      <c r="M66" s="6" t="s">
        <v>36</v>
      </c>
      <c r="N66" s="6" t="s">
        <v>57</v>
      </c>
      <c r="O66" s="30" t="s">
        <v>68</v>
      </c>
      <c r="P66" s="29" t="s">
        <v>41</v>
      </c>
      <c r="R66" s="19"/>
    </row>
    <row r="67" spans="1:18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R67" s="19"/>
    </row>
    <row r="68" spans="1:18" x14ac:dyDescent="0.25">
      <c r="A68" s="5"/>
      <c r="B68" s="10" t="s">
        <v>59</v>
      </c>
      <c r="C68" s="11"/>
      <c r="D68" s="11"/>
      <c r="E68" s="11">
        <f>8279412+172037+1</f>
        <v>8451450</v>
      </c>
      <c r="F68" s="11">
        <f>4623400+146602+183497</f>
        <v>4953499</v>
      </c>
      <c r="G68" s="40">
        <v>1070</v>
      </c>
      <c r="H68" s="11">
        <v>15848</v>
      </c>
      <c r="I68" s="11">
        <v>0</v>
      </c>
      <c r="J68" s="11">
        <v>933985</v>
      </c>
      <c r="K68" s="11">
        <v>1933085</v>
      </c>
      <c r="L68" s="11">
        <f>1049402+40369</f>
        <v>1089771</v>
      </c>
      <c r="M68" s="11">
        <v>405310</v>
      </c>
      <c r="N68" s="1">
        <v>0</v>
      </c>
      <c r="O68">
        <f>SUM(F68+H68+L68)+N68+J68</f>
        <v>6993103</v>
      </c>
      <c r="P68">
        <f>E68+G68+I68+K68+M68</f>
        <v>10790915</v>
      </c>
      <c r="R68" s="19"/>
    </row>
    <row r="69" spans="1:18" x14ac:dyDescent="0.25">
      <c r="O69" s="54">
        <f>SUM(O63:O68)</f>
        <v>7625885</v>
      </c>
      <c r="P69" s="54">
        <f>SUM(P63:P68)</f>
        <v>11706594</v>
      </c>
    </row>
    <row r="70" spans="1:18" ht="15.75" thickBot="1" x14ac:dyDescent="0.3">
      <c r="O70" s="3"/>
      <c r="P70" s="3"/>
    </row>
    <row r="71" spans="1:18" ht="30" customHeight="1" thickBot="1" x14ac:dyDescent="0.3">
      <c r="A71" s="5"/>
      <c r="B71" s="55" t="s">
        <v>0</v>
      </c>
      <c r="C71" s="60"/>
      <c r="D71" s="56"/>
      <c r="E71" s="64" t="s">
        <v>11</v>
      </c>
      <c r="F71" s="68"/>
      <c r="G71" s="66" t="s">
        <v>2</v>
      </c>
      <c r="H71" s="68"/>
      <c r="I71" s="64" t="s">
        <v>6</v>
      </c>
      <c r="J71" s="65"/>
      <c r="K71" s="64" t="s">
        <v>7</v>
      </c>
      <c r="L71" s="65"/>
      <c r="M71" s="20"/>
      <c r="O71" s="28" t="s">
        <v>42</v>
      </c>
      <c r="P71" s="2" t="s">
        <v>64</v>
      </c>
      <c r="R71" s="19"/>
    </row>
    <row r="72" spans="1:18" ht="15.75" thickBot="1" x14ac:dyDescent="0.3">
      <c r="A72" s="5"/>
      <c r="B72" s="61"/>
      <c r="C72" s="62"/>
      <c r="D72" s="63"/>
      <c r="E72" s="6" t="s">
        <v>63</v>
      </c>
      <c r="F72" s="6" t="s">
        <v>57</v>
      </c>
      <c r="G72" s="6" t="s">
        <v>36</v>
      </c>
      <c r="H72" s="6" t="s">
        <v>37</v>
      </c>
      <c r="I72" s="7" t="s">
        <v>36</v>
      </c>
      <c r="J72" s="7" t="s">
        <v>37</v>
      </c>
      <c r="K72" s="6" t="s">
        <v>36</v>
      </c>
      <c r="L72" s="8" t="s">
        <v>37</v>
      </c>
      <c r="M72" s="21"/>
      <c r="O72" s="31" t="s">
        <v>48</v>
      </c>
      <c r="P72" t="s">
        <v>69</v>
      </c>
      <c r="R72" s="19"/>
    </row>
    <row r="73" spans="1:18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9"/>
      <c r="M73" s="9"/>
      <c r="R73" s="19"/>
    </row>
    <row r="74" spans="1:18" x14ac:dyDescent="0.25">
      <c r="A74" s="5"/>
      <c r="B74" s="10" t="s">
        <v>60</v>
      </c>
      <c r="C74" s="11"/>
      <c r="D74" s="11"/>
      <c r="E74" s="11">
        <f>737782+20600</f>
        <v>758382</v>
      </c>
      <c r="F74" s="11">
        <f>638199+10800</f>
        <v>648999</v>
      </c>
      <c r="G74" s="40">
        <f>27000+12162</f>
        <v>39162</v>
      </c>
      <c r="H74" s="11">
        <v>24000</v>
      </c>
      <c r="I74" s="11"/>
      <c r="J74" s="11"/>
      <c r="K74" s="11">
        <v>166844</v>
      </c>
      <c r="L74" s="11">
        <v>148060</v>
      </c>
      <c r="M74" s="22"/>
      <c r="O74">
        <f>SUM(F74+L74)+H74</f>
        <v>821059</v>
      </c>
      <c r="P74">
        <f>E74+G74+I74+K74</f>
        <v>964388</v>
      </c>
      <c r="R74" s="19"/>
    </row>
    <row r="75" spans="1:18" ht="15.75" thickBo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R75" s="19"/>
    </row>
    <row r="76" spans="1:18" ht="30" customHeight="1" thickBot="1" x14ac:dyDescent="0.3">
      <c r="A76" s="5"/>
      <c r="B76" s="55" t="s">
        <v>8</v>
      </c>
      <c r="C76" s="60"/>
      <c r="D76" s="56"/>
      <c r="E76" s="64" t="s">
        <v>10</v>
      </c>
      <c r="F76" s="65"/>
      <c r="G76" s="66" t="s">
        <v>2</v>
      </c>
      <c r="H76" s="67"/>
      <c r="I76" s="64" t="s">
        <v>6</v>
      </c>
      <c r="J76" s="65"/>
      <c r="K76" s="64" t="s">
        <v>7</v>
      </c>
      <c r="L76" s="65"/>
      <c r="M76" s="55" t="s">
        <v>22</v>
      </c>
      <c r="N76" s="56"/>
      <c r="O76" s="28" t="s">
        <v>58</v>
      </c>
      <c r="P76" s="2" t="s">
        <v>64</v>
      </c>
      <c r="R76" s="19"/>
    </row>
    <row r="77" spans="1:18" ht="15.75" thickBot="1" x14ac:dyDescent="0.3">
      <c r="A77" s="5"/>
      <c r="B77" s="61"/>
      <c r="C77" s="62"/>
      <c r="D77" s="63"/>
      <c r="E77" s="6" t="s">
        <v>36</v>
      </c>
      <c r="F77" s="6" t="s">
        <v>57</v>
      </c>
      <c r="G77" s="6" t="s">
        <v>36</v>
      </c>
      <c r="H77" s="6" t="s">
        <v>57</v>
      </c>
      <c r="I77" s="6" t="s">
        <v>36</v>
      </c>
      <c r="J77" s="6" t="s">
        <v>37</v>
      </c>
      <c r="K77" s="6" t="s">
        <v>36</v>
      </c>
      <c r="L77" s="6" t="s">
        <v>37</v>
      </c>
      <c r="M77" s="6" t="s">
        <v>36</v>
      </c>
      <c r="N77" s="6" t="s">
        <v>37</v>
      </c>
      <c r="O77" s="30" t="s">
        <v>44</v>
      </c>
      <c r="P77" s="29" t="s">
        <v>71</v>
      </c>
      <c r="R77" s="19"/>
    </row>
    <row r="78" spans="1:18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R78" s="19"/>
    </row>
    <row r="79" spans="1:18" x14ac:dyDescent="0.25">
      <c r="A79" s="5"/>
      <c r="B79" s="10" t="s">
        <v>60</v>
      </c>
      <c r="C79" s="11"/>
      <c r="D79" s="11"/>
      <c r="E79" s="11">
        <f>8905175+527548</f>
        <v>9432723</v>
      </c>
      <c r="F79" s="11">
        <f>4731809+204217+203837</f>
        <v>5139863</v>
      </c>
      <c r="G79" s="40">
        <f>585000+17402</f>
        <v>602402</v>
      </c>
      <c r="H79" s="11">
        <f>19331+271000</f>
        <v>290331</v>
      </c>
      <c r="I79" s="11">
        <v>0</v>
      </c>
      <c r="J79" s="11">
        <v>1065782</v>
      </c>
      <c r="K79" s="11">
        <v>2252759</v>
      </c>
      <c r="L79" s="11">
        <f>1145549+44840</f>
        <v>1190389</v>
      </c>
      <c r="M79" s="11">
        <v>615845</v>
      </c>
      <c r="N79" s="1">
        <v>21455</v>
      </c>
      <c r="O79">
        <f>SUM(F79+H79+L79)+N79+J79</f>
        <v>7707820</v>
      </c>
      <c r="P79">
        <f>E79+G79+I79+K79+M79</f>
        <v>12903729</v>
      </c>
      <c r="R79" s="19"/>
    </row>
    <row r="80" spans="1:18" x14ac:dyDescent="0.25">
      <c r="O80" s="54">
        <f>SUM(O74:O79)</f>
        <v>8528879</v>
      </c>
      <c r="P80" s="54">
        <f>SUM(P74:P79)</f>
        <v>13868117</v>
      </c>
    </row>
    <row r="81" spans="1:18" ht="15.75" thickBot="1" x14ac:dyDescent="0.3"/>
    <row r="82" spans="1:18" ht="18.75" x14ac:dyDescent="0.3">
      <c r="A82" s="15"/>
      <c r="B82" s="16"/>
      <c r="C82" s="81" t="s">
        <v>12</v>
      </c>
      <c r="D82" s="81"/>
      <c r="E82" s="81" t="s">
        <v>2</v>
      </c>
      <c r="F82" s="81"/>
      <c r="G82" s="16" t="s">
        <v>6</v>
      </c>
      <c r="H82" s="81" t="s">
        <v>13</v>
      </c>
      <c r="I82" s="81"/>
      <c r="J82" s="32"/>
      <c r="K82" s="33"/>
      <c r="O82" s="74" t="s">
        <v>15</v>
      </c>
      <c r="P82" s="75"/>
    </row>
    <row r="83" spans="1:18" ht="24" x14ac:dyDescent="0.3">
      <c r="A83" s="17" t="s">
        <v>45</v>
      </c>
      <c r="B83" s="27" t="s">
        <v>14</v>
      </c>
      <c r="C83" s="76">
        <f>E52+F52+E63+F63+E74+F74</f>
        <v>3789590</v>
      </c>
      <c r="D83" s="76"/>
      <c r="E83" s="76">
        <f>G52+H52+G63+H63+G74+H74</f>
        <v>104012</v>
      </c>
      <c r="F83" s="76"/>
      <c r="G83" s="25">
        <v>0</v>
      </c>
      <c r="H83" s="76">
        <f>+K52+L52+K63+L63+K74+L74</f>
        <v>895458</v>
      </c>
      <c r="I83" s="76"/>
      <c r="J83" s="79">
        <f>SUM(C83:I83)</f>
        <v>4789060</v>
      </c>
      <c r="K83" s="80"/>
      <c r="O83" s="73">
        <f>O58+P58+O69+P69+O80+P80</f>
        <v>60511314</v>
      </c>
      <c r="P83" s="73"/>
    </row>
    <row r="84" spans="1:18" ht="25.5" x14ac:dyDescent="0.3">
      <c r="A84" s="17" t="s">
        <v>46</v>
      </c>
      <c r="B84" s="26" t="s">
        <v>29</v>
      </c>
      <c r="C84" s="76">
        <f>E57+F57+E68+F68+E79+F79</f>
        <v>39848365</v>
      </c>
      <c r="D84" s="76"/>
      <c r="E84" s="77">
        <f>G57+H57+G68+H68+G79+H79</f>
        <v>1267192</v>
      </c>
      <c r="F84" s="78"/>
      <c r="G84" s="25">
        <f>I57+J57+I68+J68+I79+J79</f>
        <v>2943267</v>
      </c>
      <c r="H84" s="76">
        <f>K57+L57+M57+N57+K68+L68+M68+N68+K79+L79+M79+N79</f>
        <v>11663430</v>
      </c>
      <c r="I84" s="76"/>
      <c r="J84" s="79">
        <f>SUM(C84:I84)</f>
        <v>55722254</v>
      </c>
      <c r="K84" s="80"/>
    </row>
    <row r="85" spans="1:18" ht="15.75" thickBot="1" x14ac:dyDescent="0.3">
      <c r="A85" s="13"/>
      <c r="B85" s="14"/>
      <c r="C85" s="14"/>
      <c r="D85" s="14"/>
      <c r="E85" s="14"/>
      <c r="F85" s="14"/>
      <c r="G85" s="14"/>
      <c r="H85" s="14"/>
      <c r="I85" s="14"/>
      <c r="J85" s="71">
        <f t="shared" ref="J85" si="1">SUM(J83:K84)</f>
        <v>60511314</v>
      </c>
      <c r="K85" s="72"/>
    </row>
    <row r="86" spans="1:18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2"/>
      <c r="K86" s="42"/>
    </row>
    <row r="87" spans="1:18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2"/>
      <c r="K87" s="42"/>
    </row>
    <row r="89" spans="1:18" s="43" customFormat="1" ht="18.75" x14ac:dyDescent="0.3">
      <c r="A89" s="44" t="s">
        <v>47</v>
      </c>
    </row>
    <row r="90" spans="1:18" ht="15.75" thickBot="1" x14ac:dyDescent="0.3"/>
    <row r="91" spans="1:18" ht="30" customHeight="1" thickBot="1" x14ac:dyDescent="0.3">
      <c r="A91" s="5"/>
      <c r="B91" s="55" t="s">
        <v>0</v>
      </c>
      <c r="C91" s="60"/>
      <c r="D91" s="56"/>
      <c r="E91" s="64" t="s">
        <v>11</v>
      </c>
      <c r="F91" s="68"/>
      <c r="G91" s="66" t="s">
        <v>2</v>
      </c>
      <c r="H91" s="68"/>
      <c r="I91" s="64" t="s">
        <v>6</v>
      </c>
      <c r="J91" s="65"/>
      <c r="K91" s="64" t="s">
        <v>7</v>
      </c>
      <c r="L91" s="65"/>
      <c r="M91" s="20"/>
      <c r="O91" s="28"/>
      <c r="P91" s="34" t="s">
        <v>61</v>
      </c>
      <c r="R91" s="19"/>
    </row>
    <row r="92" spans="1:18" ht="15.75" thickBot="1" x14ac:dyDescent="0.3">
      <c r="A92" s="5"/>
      <c r="B92" s="61"/>
      <c r="C92" s="62"/>
      <c r="D92" s="63"/>
      <c r="E92" s="57" t="s">
        <v>35</v>
      </c>
      <c r="F92" s="58"/>
      <c r="G92" s="57" t="s">
        <v>35</v>
      </c>
      <c r="H92" s="58"/>
      <c r="I92" s="69" t="s">
        <v>35</v>
      </c>
      <c r="J92" s="70"/>
      <c r="K92" s="57" t="s">
        <v>35</v>
      </c>
      <c r="L92" s="58"/>
      <c r="M92" s="21"/>
      <c r="O92" s="31"/>
      <c r="P92" s="31" t="s">
        <v>48</v>
      </c>
      <c r="R92" s="19"/>
    </row>
    <row r="93" spans="1:18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9"/>
      <c r="M93" s="9"/>
      <c r="R93" s="19"/>
    </row>
    <row r="94" spans="1:18" x14ac:dyDescent="0.25">
      <c r="A94" s="5"/>
      <c r="B94" s="10" t="s">
        <v>55</v>
      </c>
      <c r="C94" s="11"/>
      <c r="D94" s="11"/>
      <c r="E94" s="59">
        <f>441571+15700</f>
        <v>457271</v>
      </c>
      <c r="F94" s="59"/>
      <c r="G94" s="59">
        <v>0</v>
      </c>
      <c r="H94" s="59"/>
      <c r="I94" s="59">
        <v>0</v>
      </c>
      <c r="J94" s="59"/>
      <c r="K94" s="59">
        <v>123463</v>
      </c>
      <c r="L94" s="59"/>
      <c r="M94" s="22"/>
      <c r="P94">
        <f>E94+G94+I94+K94</f>
        <v>580734</v>
      </c>
      <c r="R94" s="19"/>
    </row>
    <row r="95" spans="1:18" ht="15.75" thickBo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R95" s="19"/>
    </row>
    <row r="96" spans="1:18" ht="30" customHeight="1" thickBot="1" x14ac:dyDescent="0.3">
      <c r="A96" s="5"/>
      <c r="B96" s="55" t="s">
        <v>8</v>
      </c>
      <c r="C96" s="60"/>
      <c r="D96" s="56"/>
      <c r="E96" s="64" t="s">
        <v>10</v>
      </c>
      <c r="F96" s="65"/>
      <c r="G96" s="66" t="s">
        <v>2</v>
      </c>
      <c r="H96" s="67"/>
      <c r="I96" s="64" t="s">
        <v>6</v>
      </c>
      <c r="J96" s="65"/>
      <c r="K96" s="64" t="s">
        <v>7</v>
      </c>
      <c r="L96" s="65"/>
      <c r="M96" s="55" t="s">
        <v>22</v>
      </c>
      <c r="N96" s="56"/>
      <c r="O96" s="28"/>
      <c r="P96" s="34" t="s">
        <v>62</v>
      </c>
      <c r="R96" s="19"/>
    </row>
    <row r="97" spans="1:18" ht="15.75" thickBot="1" x14ac:dyDescent="0.3">
      <c r="A97" s="5"/>
      <c r="B97" s="61"/>
      <c r="C97" s="62"/>
      <c r="D97" s="63"/>
      <c r="E97" s="57" t="s">
        <v>35</v>
      </c>
      <c r="F97" s="58"/>
      <c r="G97" s="57" t="s">
        <v>35</v>
      </c>
      <c r="H97" s="58"/>
      <c r="I97" s="57" t="s">
        <v>35</v>
      </c>
      <c r="J97" s="58"/>
      <c r="K97" s="57" t="s">
        <v>35</v>
      </c>
      <c r="L97" s="58"/>
      <c r="M97" s="57" t="s">
        <v>35</v>
      </c>
      <c r="N97" s="58"/>
      <c r="O97" s="30"/>
      <c r="P97" s="31" t="s">
        <v>49</v>
      </c>
      <c r="R97" s="19"/>
    </row>
    <row r="98" spans="1:18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R98" s="19"/>
    </row>
    <row r="99" spans="1:18" x14ac:dyDescent="0.25">
      <c r="A99" s="5"/>
      <c r="B99" s="10" t="s">
        <v>55</v>
      </c>
      <c r="C99" s="11"/>
      <c r="D99" s="11"/>
      <c r="E99" s="59">
        <f>4451034+309699+59965</f>
        <v>4820698</v>
      </c>
      <c r="F99" s="59"/>
      <c r="G99" s="59">
        <f>26000+25122+161000</f>
        <v>212122</v>
      </c>
      <c r="H99" s="59"/>
      <c r="I99" s="59">
        <f>0+283843</f>
        <v>283843</v>
      </c>
      <c r="J99" s="59"/>
      <c r="K99" s="59">
        <f>1355563+16191</f>
        <v>1371754</v>
      </c>
      <c r="L99" s="59"/>
      <c r="M99" s="59">
        <v>59035</v>
      </c>
      <c r="N99" s="59"/>
      <c r="P99">
        <f>E99+G99+I99+K99+M99</f>
        <v>6747452</v>
      </c>
      <c r="R99" s="19"/>
    </row>
    <row r="100" spans="1:18" x14ac:dyDescent="0.25">
      <c r="O100" s="3"/>
      <c r="P100" s="54">
        <f>SUM(P94:P99)</f>
        <v>7328186</v>
      </c>
    </row>
    <row r="101" spans="1:18" ht="15.75" thickBot="1" x14ac:dyDescent="0.3">
      <c r="O101" s="3"/>
      <c r="P101" s="3"/>
    </row>
    <row r="102" spans="1:18" ht="30" customHeight="1" thickBot="1" x14ac:dyDescent="0.3">
      <c r="A102" s="5"/>
      <c r="B102" s="55" t="s">
        <v>0</v>
      </c>
      <c r="C102" s="60"/>
      <c r="D102" s="56"/>
      <c r="E102" s="64" t="s">
        <v>11</v>
      </c>
      <c r="F102" s="68"/>
      <c r="G102" s="66" t="s">
        <v>2</v>
      </c>
      <c r="H102" s="68"/>
      <c r="I102" s="64" t="s">
        <v>6</v>
      </c>
      <c r="J102" s="65"/>
      <c r="K102" s="64" t="s">
        <v>7</v>
      </c>
      <c r="L102" s="65"/>
      <c r="M102" s="20"/>
      <c r="O102" s="28"/>
      <c r="P102" s="34" t="s">
        <v>61</v>
      </c>
      <c r="R102" s="19"/>
    </row>
    <row r="103" spans="1:18" ht="15.75" thickBot="1" x14ac:dyDescent="0.3">
      <c r="A103" s="5"/>
      <c r="B103" s="61"/>
      <c r="C103" s="62"/>
      <c r="D103" s="63"/>
      <c r="E103" s="57" t="s">
        <v>35</v>
      </c>
      <c r="F103" s="58"/>
      <c r="G103" s="57" t="s">
        <v>35</v>
      </c>
      <c r="H103" s="58"/>
      <c r="I103" s="69" t="s">
        <v>35</v>
      </c>
      <c r="J103" s="70"/>
      <c r="K103" s="57" t="s">
        <v>35</v>
      </c>
      <c r="L103" s="58"/>
      <c r="M103" s="21"/>
      <c r="O103" s="31"/>
      <c r="P103" s="31" t="s">
        <v>48</v>
      </c>
      <c r="R103" s="19"/>
    </row>
    <row r="104" spans="1:18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9"/>
      <c r="M104" s="9"/>
      <c r="R104" s="19"/>
    </row>
    <row r="105" spans="1:18" x14ac:dyDescent="0.25">
      <c r="A105" s="5"/>
      <c r="B105" s="10" t="s">
        <v>59</v>
      </c>
      <c r="C105" s="11"/>
      <c r="D105" s="11"/>
      <c r="E105" s="59">
        <v>505568</v>
      </c>
      <c r="F105" s="59"/>
      <c r="G105" s="59">
        <v>0</v>
      </c>
      <c r="H105" s="59"/>
      <c r="I105" s="59">
        <v>0</v>
      </c>
      <c r="J105" s="59"/>
      <c r="K105" s="59">
        <v>111225</v>
      </c>
      <c r="L105" s="59"/>
      <c r="M105" s="22"/>
      <c r="P105">
        <f>E105+G105+I105+K105</f>
        <v>616793</v>
      </c>
      <c r="R105" s="19"/>
    </row>
    <row r="106" spans="1:18" ht="15.75" thickBo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R106" s="19"/>
    </row>
    <row r="107" spans="1:18" ht="30" customHeight="1" thickBot="1" x14ac:dyDescent="0.3">
      <c r="A107" s="5"/>
      <c r="B107" s="55" t="s">
        <v>8</v>
      </c>
      <c r="C107" s="60"/>
      <c r="D107" s="56"/>
      <c r="E107" s="64" t="s">
        <v>10</v>
      </c>
      <c r="F107" s="65"/>
      <c r="G107" s="66" t="s">
        <v>2</v>
      </c>
      <c r="H107" s="67"/>
      <c r="I107" s="64" t="s">
        <v>6</v>
      </c>
      <c r="J107" s="65"/>
      <c r="K107" s="64" t="s">
        <v>7</v>
      </c>
      <c r="L107" s="65"/>
      <c r="M107" s="55" t="s">
        <v>22</v>
      </c>
      <c r="N107" s="56"/>
      <c r="O107" s="28"/>
      <c r="P107" s="34" t="s">
        <v>62</v>
      </c>
      <c r="R107" s="19"/>
    </row>
    <row r="108" spans="1:18" ht="15.75" thickBot="1" x14ac:dyDescent="0.3">
      <c r="A108" s="5"/>
      <c r="B108" s="61"/>
      <c r="C108" s="62"/>
      <c r="D108" s="63"/>
      <c r="E108" s="57" t="s">
        <v>35</v>
      </c>
      <c r="F108" s="58"/>
      <c r="G108" s="57" t="s">
        <v>35</v>
      </c>
      <c r="H108" s="58"/>
      <c r="I108" s="57" t="s">
        <v>35</v>
      </c>
      <c r="J108" s="58"/>
      <c r="K108" s="57" t="s">
        <v>35</v>
      </c>
      <c r="L108" s="58"/>
      <c r="M108" s="57" t="s">
        <v>35</v>
      </c>
      <c r="N108" s="58"/>
      <c r="O108" s="30"/>
      <c r="P108" s="31" t="s">
        <v>49</v>
      </c>
      <c r="R108" s="19"/>
    </row>
    <row r="109" spans="1:18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R109" s="19"/>
    </row>
    <row r="110" spans="1:18" x14ac:dyDescent="0.25">
      <c r="A110" s="5"/>
      <c r="B110" s="10" t="s">
        <v>59</v>
      </c>
      <c r="C110" s="11"/>
      <c r="D110" s="11"/>
      <c r="E110" s="59">
        <f>5257118+95619+105947</f>
        <v>5458684</v>
      </c>
      <c r="F110" s="59"/>
      <c r="G110" s="59">
        <f>-26000+22992</f>
        <v>-3008</v>
      </c>
      <c r="H110" s="59"/>
      <c r="I110" s="59">
        <v>350743</v>
      </c>
      <c r="J110" s="59"/>
      <c r="K110" s="59">
        <f>1175812+23309</f>
        <v>1199121</v>
      </c>
      <c r="L110" s="59"/>
      <c r="M110" s="59">
        <v>15700</v>
      </c>
      <c r="N110" s="59"/>
      <c r="P110">
        <f>E110+G110+I110+K110+M110</f>
        <v>7021240</v>
      </c>
      <c r="R110" s="19"/>
    </row>
    <row r="111" spans="1:18" x14ac:dyDescent="0.25">
      <c r="O111" s="3"/>
      <c r="P111" s="54">
        <f>SUM(P105:P110)</f>
        <v>7638033</v>
      </c>
    </row>
    <row r="112" spans="1:18" ht="15.75" thickBot="1" x14ac:dyDescent="0.3">
      <c r="O112" s="3"/>
      <c r="P112" s="3"/>
    </row>
    <row r="113" spans="1:21" ht="30" customHeight="1" thickBot="1" x14ac:dyDescent="0.3">
      <c r="A113" s="5"/>
      <c r="B113" s="55" t="s">
        <v>0</v>
      </c>
      <c r="C113" s="60"/>
      <c r="D113" s="56"/>
      <c r="E113" s="64" t="s">
        <v>11</v>
      </c>
      <c r="F113" s="68"/>
      <c r="G113" s="66" t="s">
        <v>2</v>
      </c>
      <c r="H113" s="68"/>
      <c r="I113" s="64" t="s">
        <v>6</v>
      </c>
      <c r="J113" s="65"/>
      <c r="K113" s="64" t="s">
        <v>7</v>
      </c>
      <c r="L113" s="65"/>
      <c r="M113" s="20"/>
      <c r="O113" s="28"/>
      <c r="P113" s="34" t="s">
        <v>61</v>
      </c>
      <c r="R113" s="19"/>
    </row>
    <row r="114" spans="1:21" ht="15.75" thickBot="1" x14ac:dyDescent="0.3">
      <c r="A114" s="5"/>
      <c r="B114" s="61"/>
      <c r="C114" s="62"/>
      <c r="D114" s="63"/>
      <c r="E114" s="57" t="s">
        <v>35</v>
      </c>
      <c r="F114" s="58"/>
      <c r="G114" s="57" t="s">
        <v>35</v>
      </c>
      <c r="H114" s="58"/>
      <c r="I114" s="69" t="s">
        <v>35</v>
      </c>
      <c r="J114" s="70"/>
      <c r="K114" s="57" t="s">
        <v>35</v>
      </c>
      <c r="L114" s="58"/>
      <c r="M114" s="21"/>
      <c r="O114" s="31"/>
      <c r="P114" s="31" t="s">
        <v>48</v>
      </c>
      <c r="R114" s="19"/>
    </row>
    <row r="115" spans="1:2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9"/>
      <c r="M115" s="9"/>
      <c r="R115" s="19"/>
    </row>
    <row r="116" spans="1:21" x14ac:dyDescent="0.25">
      <c r="A116" s="5"/>
      <c r="B116" s="10" t="s">
        <v>60</v>
      </c>
      <c r="C116" s="11"/>
      <c r="D116" s="11"/>
      <c r="E116" s="59">
        <f>505569+15600</f>
        <v>521169</v>
      </c>
      <c r="F116" s="59"/>
      <c r="G116" s="59">
        <v>24000</v>
      </c>
      <c r="H116" s="59"/>
      <c r="I116" s="59">
        <v>0</v>
      </c>
      <c r="J116" s="59"/>
      <c r="K116" s="59">
        <v>119937</v>
      </c>
      <c r="L116" s="59"/>
      <c r="M116" s="22"/>
      <c r="P116">
        <f>E116+G116+I116+K116</f>
        <v>665106</v>
      </c>
      <c r="R116" s="19"/>
    </row>
    <row r="117" spans="1:21" ht="15.75" thickBo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R117" s="19"/>
    </row>
    <row r="118" spans="1:21" ht="30" customHeight="1" thickBot="1" x14ac:dyDescent="0.3">
      <c r="A118" s="5"/>
      <c r="B118" s="55" t="s">
        <v>8</v>
      </c>
      <c r="C118" s="60"/>
      <c r="D118" s="56"/>
      <c r="E118" s="64" t="s">
        <v>10</v>
      </c>
      <c r="F118" s="65"/>
      <c r="G118" s="66" t="s">
        <v>2</v>
      </c>
      <c r="H118" s="67"/>
      <c r="I118" s="64" t="s">
        <v>6</v>
      </c>
      <c r="J118" s="65"/>
      <c r="K118" s="64" t="s">
        <v>7</v>
      </c>
      <c r="L118" s="65"/>
      <c r="M118" s="55" t="s">
        <v>22</v>
      </c>
      <c r="N118" s="56"/>
      <c r="O118" s="28"/>
      <c r="P118" s="34" t="s">
        <v>62</v>
      </c>
      <c r="R118" s="19"/>
    </row>
    <row r="119" spans="1:21" ht="15.75" thickBot="1" x14ac:dyDescent="0.3">
      <c r="A119" s="5"/>
      <c r="B119" s="61"/>
      <c r="C119" s="62"/>
      <c r="D119" s="63"/>
      <c r="E119" s="57" t="s">
        <v>35</v>
      </c>
      <c r="F119" s="58"/>
      <c r="G119" s="57" t="s">
        <v>35</v>
      </c>
      <c r="H119" s="58"/>
      <c r="I119" s="57" t="s">
        <v>35</v>
      </c>
      <c r="J119" s="58"/>
      <c r="K119" s="57" t="s">
        <v>35</v>
      </c>
      <c r="L119" s="58"/>
      <c r="M119" s="57" t="s">
        <v>35</v>
      </c>
      <c r="N119" s="58"/>
      <c r="O119" s="30"/>
      <c r="P119" s="31" t="s">
        <v>49</v>
      </c>
      <c r="R119" s="19"/>
    </row>
    <row r="120" spans="1:2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R120" s="19"/>
    </row>
    <row r="121" spans="1:21" x14ac:dyDescent="0.25">
      <c r="A121" s="5"/>
      <c r="B121" s="10" t="s">
        <v>60</v>
      </c>
      <c r="C121" s="11"/>
      <c r="D121" s="11"/>
      <c r="E121" s="59">
        <f>5142016+183590+105947</f>
        <v>5431553</v>
      </c>
      <c r="F121" s="59"/>
      <c r="G121" s="59">
        <f>33895+327000</f>
        <v>360895</v>
      </c>
      <c r="H121" s="59"/>
      <c r="I121" s="59">
        <v>483040</v>
      </c>
      <c r="J121" s="59"/>
      <c r="K121" s="59">
        <f>1243571+23309</f>
        <v>1266880</v>
      </c>
      <c r="L121" s="59"/>
      <c r="M121" s="59">
        <v>28110</v>
      </c>
      <c r="N121" s="59"/>
      <c r="P121">
        <f>E121+G121+I121+K121+M121</f>
        <v>7570478</v>
      </c>
      <c r="R121" s="19"/>
    </row>
    <row r="122" spans="1:21" x14ac:dyDescent="0.25">
      <c r="O122" s="3"/>
      <c r="P122" s="54">
        <f>SUM(P116:P121)</f>
        <v>8235584</v>
      </c>
    </row>
    <row r="123" spans="1:21" ht="15.75" thickBot="1" x14ac:dyDescent="0.3"/>
    <row r="124" spans="1:21" ht="36" x14ac:dyDescent="0.55000000000000004">
      <c r="A124" s="15"/>
      <c r="B124" s="16"/>
      <c r="C124" s="81" t="s">
        <v>12</v>
      </c>
      <c r="D124" s="81"/>
      <c r="E124" s="81" t="s">
        <v>2</v>
      </c>
      <c r="F124" s="81"/>
      <c r="G124" s="16" t="s">
        <v>6</v>
      </c>
      <c r="H124" s="81" t="s">
        <v>13</v>
      </c>
      <c r="I124" s="81"/>
      <c r="J124" s="32"/>
      <c r="K124" s="33"/>
      <c r="O124" s="74" t="s">
        <v>15</v>
      </c>
      <c r="P124" s="75"/>
      <c r="U124" s="39"/>
    </row>
    <row r="125" spans="1:21" ht="24" x14ac:dyDescent="0.3">
      <c r="A125" s="17" t="s">
        <v>48</v>
      </c>
      <c r="B125" s="27" t="s">
        <v>14</v>
      </c>
      <c r="C125" s="76">
        <f>E94+F94+E105+E116</f>
        <v>1484008</v>
      </c>
      <c r="D125" s="76"/>
      <c r="E125" s="76">
        <f>G94+G104+G116</f>
        <v>24000</v>
      </c>
      <c r="F125" s="76"/>
      <c r="G125" s="25">
        <f>I94+J104+I116</f>
        <v>0</v>
      </c>
      <c r="H125" s="76">
        <f>K94+K105+K116</f>
        <v>354625</v>
      </c>
      <c r="I125" s="76"/>
      <c r="J125" s="82">
        <f>SUM(C125:I125)</f>
        <v>1862633</v>
      </c>
      <c r="K125" s="83"/>
      <c r="O125" s="73">
        <f>O100+P100+P111+P122</f>
        <v>23201803</v>
      </c>
      <c r="P125" s="73"/>
    </row>
    <row r="126" spans="1:21" ht="25.5" x14ac:dyDescent="0.3">
      <c r="A126" s="17" t="s">
        <v>49</v>
      </c>
      <c r="B126" s="26" t="s">
        <v>29</v>
      </c>
      <c r="C126" s="76">
        <f>E99+E110+E121</f>
        <v>15710935</v>
      </c>
      <c r="D126" s="76"/>
      <c r="E126" s="77">
        <f>G99+H99+G110+G121</f>
        <v>570009</v>
      </c>
      <c r="F126" s="78"/>
      <c r="G126" s="25">
        <f>I99+I110+I121</f>
        <v>1117626</v>
      </c>
      <c r="H126" s="76">
        <f>K99+M99+K110+M110+K121+M121</f>
        <v>3940600</v>
      </c>
      <c r="I126" s="76"/>
      <c r="J126" s="82">
        <f>SUM(C126:I126)</f>
        <v>21339170</v>
      </c>
      <c r="K126" s="83"/>
    </row>
    <row r="127" spans="1:21" ht="15.75" thickBot="1" x14ac:dyDescent="0.3">
      <c r="A127" s="13"/>
      <c r="B127" s="14"/>
      <c r="C127" s="14"/>
      <c r="D127" s="14"/>
      <c r="E127" s="14"/>
      <c r="F127" s="14"/>
      <c r="G127" s="14"/>
      <c r="H127" s="14"/>
      <c r="I127" s="14"/>
      <c r="J127" s="71">
        <f t="shared" ref="J127" si="2">SUM(J125:K126)</f>
        <v>23201803</v>
      </c>
      <c r="K127" s="72"/>
    </row>
    <row r="133" spans="1:17" ht="26.25" x14ac:dyDescent="0.4">
      <c r="A133" s="37" t="s">
        <v>56</v>
      </c>
      <c r="B133" s="38"/>
      <c r="C133" s="38"/>
      <c r="D133" s="38"/>
      <c r="E133" s="38"/>
      <c r="F133" s="38"/>
      <c r="G133" s="38"/>
    </row>
    <row r="135" spans="1:17" ht="15.75" thickBot="1" x14ac:dyDescent="0.3"/>
    <row r="136" spans="1:17" ht="45.75" customHeight="1" x14ac:dyDescent="0.35">
      <c r="D136" s="45" t="s">
        <v>50</v>
      </c>
      <c r="E136" s="46"/>
      <c r="F136" s="95" t="s">
        <v>12</v>
      </c>
      <c r="G136" s="96"/>
      <c r="H136" s="97" t="s">
        <v>2</v>
      </c>
      <c r="I136" s="98"/>
      <c r="J136" s="86" t="s">
        <v>6</v>
      </c>
      <c r="K136" s="87"/>
      <c r="L136" s="95" t="s">
        <v>13</v>
      </c>
      <c r="M136" s="96"/>
      <c r="N136" s="47"/>
      <c r="O136" s="48"/>
    </row>
    <row r="137" spans="1:17" ht="42" x14ac:dyDescent="0.35">
      <c r="D137" s="49" t="s">
        <v>51</v>
      </c>
      <c r="E137" s="50" t="s">
        <v>14</v>
      </c>
      <c r="F137" s="94">
        <f>C37+C83+C125</f>
        <v>13394242</v>
      </c>
      <c r="G137" s="94"/>
      <c r="H137" s="94">
        <f>E37+E83+E125</f>
        <v>389048</v>
      </c>
      <c r="I137" s="94"/>
      <c r="J137" s="90">
        <f>G37+G83+G125</f>
        <v>0</v>
      </c>
      <c r="K137" s="91"/>
      <c r="L137" s="94">
        <f>H37+H83+H125</f>
        <v>3222420</v>
      </c>
      <c r="M137" s="94"/>
      <c r="N137" s="92">
        <f>SUM(F137:M137)</f>
        <v>17005710</v>
      </c>
      <c r="O137" s="93"/>
    </row>
    <row r="138" spans="1:17" ht="45.75" customHeight="1" x14ac:dyDescent="0.35">
      <c r="D138" s="49" t="s">
        <v>52</v>
      </c>
      <c r="E138" s="50" t="s">
        <v>29</v>
      </c>
      <c r="F138" s="94">
        <f>C38+C84+C126</f>
        <v>115567615</v>
      </c>
      <c r="G138" s="94"/>
      <c r="H138" s="90">
        <f>E38+E84+E126</f>
        <v>4473807</v>
      </c>
      <c r="I138" s="91"/>
      <c r="J138" s="90">
        <f>G38+G84+G126</f>
        <v>5909787</v>
      </c>
      <c r="K138" s="91"/>
      <c r="L138" s="94">
        <f>H38+H84+H126</f>
        <v>32988752</v>
      </c>
      <c r="M138" s="94"/>
      <c r="N138" s="92">
        <f>SUM(F138:M138)</f>
        <v>158939961</v>
      </c>
      <c r="O138" s="93"/>
    </row>
    <row r="139" spans="1:17" ht="33.75" customHeight="1" thickBot="1" x14ac:dyDescent="0.4">
      <c r="D139" s="51"/>
      <c r="E139" s="52"/>
      <c r="F139" s="52"/>
      <c r="G139" s="52"/>
      <c r="H139" s="52"/>
      <c r="I139" s="52"/>
      <c r="J139" s="52"/>
      <c r="K139" s="52"/>
      <c r="L139" s="52"/>
      <c r="M139" s="52"/>
      <c r="N139" s="88">
        <f>SUM(M137:N138)</f>
        <v>175945671</v>
      </c>
      <c r="O139" s="89"/>
      <c r="P139" s="35"/>
    </row>
    <row r="142" spans="1:17" ht="15.75" thickBot="1" x14ac:dyDescent="0.3"/>
    <row r="143" spans="1:17" ht="15.75" thickBot="1" x14ac:dyDescent="0.3">
      <c r="O143" s="36" t="s">
        <v>53</v>
      </c>
      <c r="P143" s="84">
        <f>O37+O83+O125</f>
        <v>175945671</v>
      </c>
      <c r="Q143" s="85"/>
    </row>
  </sheetData>
  <mergeCells count="211">
    <mergeCell ref="P143:Q143"/>
    <mergeCell ref="J136:K136"/>
    <mergeCell ref="N139:O139"/>
    <mergeCell ref="J137:K137"/>
    <mergeCell ref="J138:K138"/>
    <mergeCell ref="N137:O137"/>
    <mergeCell ref="F138:G138"/>
    <mergeCell ref="H138:I138"/>
    <mergeCell ref="L138:M138"/>
    <mergeCell ref="N138:O138"/>
    <mergeCell ref="F136:G136"/>
    <mergeCell ref="H136:I136"/>
    <mergeCell ref="L136:M136"/>
    <mergeCell ref="F137:G137"/>
    <mergeCell ref="H137:I137"/>
    <mergeCell ref="L137:M137"/>
    <mergeCell ref="E94:F94"/>
    <mergeCell ref="G94:H94"/>
    <mergeCell ref="I94:J94"/>
    <mergeCell ref="K94:L94"/>
    <mergeCell ref="E97:F97"/>
    <mergeCell ref="G97:H97"/>
    <mergeCell ref="I97:J97"/>
    <mergeCell ref="K97:L97"/>
    <mergeCell ref="C126:D126"/>
    <mergeCell ref="E126:F126"/>
    <mergeCell ref="H126:I126"/>
    <mergeCell ref="J126:K126"/>
    <mergeCell ref="G102:H102"/>
    <mergeCell ref="I102:J102"/>
    <mergeCell ref="K102:L102"/>
    <mergeCell ref="E103:F103"/>
    <mergeCell ref="G103:H103"/>
    <mergeCell ref="I103:J103"/>
    <mergeCell ref="K103:L103"/>
    <mergeCell ref="E105:F105"/>
    <mergeCell ref="G105:H105"/>
    <mergeCell ref="I105:J105"/>
    <mergeCell ref="K105:L105"/>
    <mergeCell ref="B107:D108"/>
    <mergeCell ref="J127:K127"/>
    <mergeCell ref="C125:D125"/>
    <mergeCell ref="E125:F125"/>
    <mergeCell ref="H125:I125"/>
    <mergeCell ref="J125:K125"/>
    <mergeCell ref="O125:P125"/>
    <mergeCell ref="M96:N96"/>
    <mergeCell ref="C124:D124"/>
    <mergeCell ref="E124:F124"/>
    <mergeCell ref="H124:I124"/>
    <mergeCell ref="O124:P124"/>
    <mergeCell ref="M97:N97"/>
    <mergeCell ref="E99:F99"/>
    <mergeCell ref="G99:H99"/>
    <mergeCell ref="I99:J99"/>
    <mergeCell ref="K99:L99"/>
    <mergeCell ref="M99:N99"/>
    <mergeCell ref="B96:D97"/>
    <mergeCell ref="E96:F96"/>
    <mergeCell ref="G96:H96"/>
    <mergeCell ref="I96:J96"/>
    <mergeCell ref="K96:L96"/>
    <mergeCell ref="B102:D103"/>
    <mergeCell ref="E102:F102"/>
    <mergeCell ref="J85:K85"/>
    <mergeCell ref="C83:D83"/>
    <mergeCell ref="E83:F83"/>
    <mergeCell ref="H83:I83"/>
    <mergeCell ref="J83:K83"/>
    <mergeCell ref="B91:D92"/>
    <mergeCell ref="E91:F91"/>
    <mergeCell ref="G91:H91"/>
    <mergeCell ref="I91:J91"/>
    <mergeCell ref="K91:L91"/>
    <mergeCell ref="E92:F92"/>
    <mergeCell ref="G92:H92"/>
    <mergeCell ref="I92:J92"/>
    <mergeCell ref="K92:L92"/>
    <mergeCell ref="B65:D66"/>
    <mergeCell ref="E65:F65"/>
    <mergeCell ref="G65:H65"/>
    <mergeCell ref="I65:J65"/>
    <mergeCell ref="K65:L65"/>
    <mergeCell ref="M65:N65"/>
    <mergeCell ref="C84:D84"/>
    <mergeCell ref="E84:F84"/>
    <mergeCell ref="H84:I84"/>
    <mergeCell ref="J84:K84"/>
    <mergeCell ref="E54:F54"/>
    <mergeCell ref="G54:H54"/>
    <mergeCell ref="I54:J54"/>
    <mergeCell ref="K54:L54"/>
    <mergeCell ref="B60:D61"/>
    <mergeCell ref="E60:F60"/>
    <mergeCell ref="G60:H60"/>
    <mergeCell ref="I60:J60"/>
    <mergeCell ref="K60:L60"/>
    <mergeCell ref="E23:F23"/>
    <mergeCell ref="G23:H23"/>
    <mergeCell ref="I23:J23"/>
    <mergeCell ref="E37:F37"/>
    <mergeCell ref="C36:D36"/>
    <mergeCell ref="E36:F36"/>
    <mergeCell ref="H36:I36"/>
    <mergeCell ref="C37:D37"/>
    <mergeCell ref="J37:K37"/>
    <mergeCell ref="K23:L23"/>
    <mergeCell ref="B28:D29"/>
    <mergeCell ref="E28:F28"/>
    <mergeCell ref="G28:H28"/>
    <mergeCell ref="M6:N6"/>
    <mergeCell ref="M17:N17"/>
    <mergeCell ref="M28:N28"/>
    <mergeCell ref="B1:D2"/>
    <mergeCell ref="G1:H1"/>
    <mergeCell ref="E1:F1"/>
    <mergeCell ref="K1:L1"/>
    <mergeCell ref="I1:J1"/>
    <mergeCell ref="B17:D18"/>
    <mergeCell ref="E17:F17"/>
    <mergeCell ref="G17:H17"/>
    <mergeCell ref="I17:J17"/>
    <mergeCell ref="K17:L17"/>
    <mergeCell ref="B12:D13"/>
    <mergeCell ref="E12:F12"/>
    <mergeCell ref="G12:H12"/>
    <mergeCell ref="I12:J12"/>
    <mergeCell ref="K12:L12"/>
    <mergeCell ref="B6:D7"/>
    <mergeCell ref="E6:F6"/>
    <mergeCell ref="G6:H6"/>
    <mergeCell ref="I6:J6"/>
    <mergeCell ref="K6:L6"/>
    <mergeCell ref="B23:D24"/>
    <mergeCell ref="K108:L108"/>
    <mergeCell ref="M108:N108"/>
    <mergeCell ref="J39:K39"/>
    <mergeCell ref="O37:P37"/>
    <mergeCell ref="O36:P36"/>
    <mergeCell ref="I28:J28"/>
    <mergeCell ref="K28:L28"/>
    <mergeCell ref="C38:D38"/>
    <mergeCell ref="H37:I37"/>
    <mergeCell ref="H38:I38"/>
    <mergeCell ref="E38:F38"/>
    <mergeCell ref="J38:K38"/>
    <mergeCell ref="B49:D50"/>
    <mergeCell ref="E49:F49"/>
    <mergeCell ref="G49:H49"/>
    <mergeCell ref="I49:J49"/>
    <mergeCell ref="K49:L49"/>
    <mergeCell ref="O83:P83"/>
    <mergeCell ref="M54:N54"/>
    <mergeCell ref="C82:D82"/>
    <mergeCell ref="E82:F82"/>
    <mergeCell ref="H82:I82"/>
    <mergeCell ref="O82:P82"/>
    <mergeCell ref="B54:D55"/>
    <mergeCell ref="E110:F110"/>
    <mergeCell ref="G110:H110"/>
    <mergeCell ref="I110:J110"/>
    <mergeCell ref="K110:L110"/>
    <mergeCell ref="M110:N110"/>
    <mergeCell ref="B71:D72"/>
    <mergeCell ref="E71:F71"/>
    <mergeCell ref="G71:H71"/>
    <mergeCell ref="I71:J71"/>
    <mergeCell ref="K71:L71"/>
    <mergeCell ref="B76:D77"/>
    <mergeCell ref="E76:F76"/>
    <mergeCell ref="G76:H76"/>
    <mergeCell ref="I76:J76"/>
    <mergeCell ref="K76:L76"/>
    <mergeCell ref="M76:N76"/>
    <mergeCell ref="E107:F107"/>
    <mergeCell ref="G107:H107"/>
    <mergeCell ref="I107:J107"/>
    <mergeCell ref="K107:L107"/>
    <mergeCell ref="M107:N107"/>
    <mergeCell ref="E108:F108"/>
    <mergeCell ref="G108:H108"/>
    <mergeCell ref="I108:J108"/>
    <mergeCell ref="B113:D114"/>
    <mergeCell ref="E113:F113"/>
    <mergeCell ref="G113:H113"/>
    <mergeCell ref="I113:J113"/>
    <mergeCell ref="K113:L113"/>
    <mergeCell ref="E114:F114"/>
    <mergeCell ref="G114:H114"/>
    <mergeCell ref="I114:J114"/>
    <mergeCell ref="K114:L114"/>
    <mergeCell ref="E116:F116"/>
    <mergeCell ref="G116:H116"/>
    <mergeCell ref="I116:J116"/>
    <mergeCell ref="K116:L116"/>
    <mergeCell ref="B118:D119"/>
    <mergeCell ref="E118:F118"/>
    <mergeCell ref="G118:H118"/>
    <mergeCell ref="I118:J118"/>
    <mergeCell ref="K118:L118"/>
    <mergeCell ref="M118:N118"/>
    <mergeCell ref="E119:F119"/>
    <mergeCell ref="G119:H119"/>
    <mergeCell ref="I119:J119"/>
    <mergeCell ref="K119:L119"/>
    <mergeCell ref="M119:N119"/>
    <mergeCell ref="E121:F121"/>
    <mergeCell ref="G121:H121"/>
    <mergeCell ref="I121:J121"/>
    <mergeCell ref="K121:L121"/>
    <mergeCell ref="M121:N121"/>
  </mergeCells>
  <printOptions horizontalCentered="1"/>
  <pageMargins left="0" right="0" top="0.35433070866141736" bottom="0" header="0" footer="0.11811023622047245"/>
  <pageSetup paperSize="9" scale="73" orientation="landscape" horizontalDpi="200" verticalDpi="200" r:id="rId1"/>
  <headerFooter>
    <oddHeader>&amp;CGÁBORNAK JELENTÉS</oddHeader>
    <oddFooter xml:space="preserve">&amp;C2016.12.hó-2017.02.hóig </oddFooter>
  </headerFooter>
  <colBreaks count="1" manualBreakCount="1">
    <brk id="18" max="4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2017-05-31T08:18:16Z</dcterms:modified>
</cp:coreProperties>
</file>